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nthly input" sheetId="1" state="visible" r:id="rId1"/>
    <sheet name="KPIs" sheetId="2" state="visible" r:id="rId2"/>
    <sheet name="Dashboard" sheetId="3" state="visible" r:id="rId3"/>
    <sheet name="Definitions" sheetId="4" state="visible" r:id="rId4"/>
    <sheet name="How to use" sheetId="5" state="visible" r:id="rId5"/>
  </sheets>
  <definedNames>
    <definedName name="_xlnm.Print_Area" localSheetId="0">'Monthly input'!$A$1:$N$19</definedName>
    <definedName name="_xlnm.Print_Area" localSheetId="1">'KPIs'!$A$1:$K$20</definedName>
    <definedName name="_xlnm.Print_Area" localSheetId="2">'Dashboard'!$A$1:$K$65</definedName>
    <definedName name="_xlnm.Print_Titles" localSheetId="3">'Definitions'!$5:$5</definedName>
    <definedName name="_xlnm.Print_Area" localSheetId="3">'Definitions'!$A$1:$D$32</definedName>
    <definedName name="_xlnm.Print_Area" localSheetId="4">'How to use'!$A$1:$A$19</definedName>
  </definedNames>
  <calcPr calcId="124519" fullCalcOnLoad="1"/>
</workbook>
</file>

<file path=xl/styles.xml><?xml version="1.0" encoding="utf-8"?>
<styleSheet xmlns="http://schemas.openxmlformats.org/spreadsheetml/2006/main">
  <numFmts count="9">
    <numFmt numFmtId="164" formatCode="yyyy-mm-dd h:mm:ss"/>
    <numFmt numFmtId="165" formatCode="mmm yyyy"/>
    <numFmt numFmtId="166" formatCode="#,##0.0"/>
    <numFmt numFmtId="167" formatCode="0.0"/>
    <numFmt numFmtId="168" formatCode="0.0%"/>
    <numFmt numFmtId="169" formatCode="+0.0&quot; h&quot;;-0.0&quot; h&quot;;0.0&quot; h&quot;"/>
    <numFmt numFmtId="170" formatCode="+0.0&quot; pts&quot;;-0.0&quot; pts&quot;;0.0&quot; pts&quot;"/>
    <numFmt numFmtId="171" formatCode="+0.0&quot; wk&quot;;-0.0&quot; wk&quot;;0.0&quot; wk&quot;"/>
    <numFmt numFmtId="172" formatCode="+0.00&quot; pts&quot;;-0.00&quot; pts&quot;;0.00&quot; pts&quot;"/>
  </numFmts>
  <fonts count="10">
    <font>
      <name val="Calibri"/>
      <family val="2"/>
      <color theme="1"/>
      <sz val="11"/>
      <scheme val="minor"/>
    </font>
    <font>
      <name val="Calibri"/>
      <b val="1"/>
      <color rgb="000B6B63"/>
      <sz val="16"/>
    </font>
    <font>
      <name val="Calibri"/>
      <color rgb="000B8177"/>
      <sz val="10"/>
      <u val="single"/>
    </font>
    <font>
      <name val="Calibri"/>
      <b val="1"/>
      <color rgb="008A4B00"/>
      <sz val="11"/>
    </font>
    <font>
      <name val="Calibri"/>
      <b val="1"/>
      <color rgb="000F1720"/>
      <sz val="11"/>
    </font>
    <font>
      <name val="Calibri"/>
      <color rgb="000F1720"/>
      <sz val="11"/>
    </font>
    <font>
      <name val="Calibri"/>
      <i val="1"/>
      <color rgb="00586675"/>
      <sz val="10"/>
    </font>
    <font>
      <name val="Calibri"/>
      <b val="1"/>
      <color rgb="00FFFFFF"/>
      <sz val="10"/>
    </font>
    <font>
      <name val="Calibri"/>
      <color rgb="00334353"/>
      <sz val="11"/>
    </font>
    <font>
      <name val="Calibri"/>
      <b val="1"/>
      <color rgb="000E151F"/>
      <sz val="13"/>
    </font>
  </fonts>
  <fills count="7">
    <fill>
      <patternFill/>
    </fill>
    <fill>
      <patternFill patternType="gray125"/>
    </fill>
    <fill>
      <patternFill patternType="solid">
        <fgColor rgb="00FFEFC7"/>
      </patternFill>
    </fill>
    <fill>
      <patternFill patternType="solid">
        <fgColor rgb="00FFF8E6"/>
      </patternFill>
    </fill>
    <fill>
      <patternFill patternType="solid">
        <fgColor rgb="000E151F"/>
      </patternFill>
    </fill>
    <fill>
      <patternFill patternType="solid">
        <fgColor rgb="00EEF2F6"/>
      </patternFill>
    </fill>
    <fill>
      <patternFill patternType="solid">
        <fgColor rgb="00DDF3F0"/>
      </patternFill>
    </fill>
  </fills>
  <borders count="6">
    <border>
      <left/>
      <right/>
      <top/>
      <bottom/>
      <diagonal/>
    </border>
    <border>
      <left style="thin">
        <color rgb="00D6DDE8"/>
      </left>
      <right style="thin">
        <color rgb="00D6DDE8"/>
      </right>
      <top style="thin">
        <color rgb="00D6DDE8"/>
      </top>
      <bottom style="thin">
        <color rgb="00D6DDE8"/>
      </bottom>
    </border>
    <border>
      <left/>
      <right/>
      <top style="thin">
        <color rgb="00D6DDE8"/>
      </top>
      <bottom/>
      <diagonal/>
    </border>
    <border>
      <left/>
      <right style="thin">
        <color rgb="00D6DDE8"/>
      </right>
      <top style="thin">
        <color rgb="00D6DDE8"/>
      </top>
      <bottom/>
      <diagonal/>
    </border>
    <border>
      <left/>
      <right/>
      <top style="thin">
        <color rgb="00D6DDE8"/>
      </top>
      <bottom style="thin">
        <color rgb="00D6DDE8"/>
      </bottom>
      <diagonal/>
    </border>
    <border>
      <left/>
      <right style="thin">
        <color rgb="00D6DDE8"/>
      </right>
      <top style="thin">
        <color rgb="00D6DDE8"/>
      </top>
      <bottom style="thin">
        <color rgb="00D6DDE8"/>
      </bottom>
      <diagonal/>
    </border>
  </borders>
  <cellStyleXfs count="1">
    <xf numFmtId="0" fontId="0" fillId="0" borderId="0"/>
  </cellStyleXfs>
  <cellXfs count="53">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applyAlignment="1" pivotButton="0" quotePrefix="0" xfId="0">
      <alignment vertical="center"/>
    </xf>
    <xf numFmtId="0" fontId="5" fillId="3" borderId="1" pivotButton="0" quotePrefix="0" xfId="0"/>
    <xf numFmtId="0" fontId="0" fillId="3" borderId="1" pivotButton="0" quotePrefix="0" xfId="0"/>
    <xf numFmtId="0" fontId="6" fillId="0" borderId="0" pivotButton="0" quotePrefix="0" xfId="0"/>
    <xf numFmtId="0" fontId="7" fillId="4" borderId="1" applyAlignment="1" pivotButton="0" quotePrefix="0" xfId="0">
      <alignment horizontal="center" vertical="center" wrapText="1"/>
    </xf>
    <xf numFmtId="165" fontId="5" fillId="3" borderId="1" applyAlignment="1" pivotButton="0" quotePrefix="0" xfId="0">
      <alignment horizontal="left"/>
    </xf>
    <xf numFmtId="166" fontId="5" fillId="3" borderId="1" pivotButton="0" quotePrefix="0" xfId="0"/>
    <xf numFmtId="1" fontId="5" fillId="3" borderId="1" pivotButton="0" quotePrefix="0" xfId="0"/>
    <xf numFmtId="3" fontId="5" fillId="3" borderId="1" pivotButton="0" quotePrefix="0" xfId="0"/>
    <xf numFmtId="0" fontId="8" fillId="5" borderId="1" applyAlignment="1" pivotButton="0" quotePrefix="0" xfId="0">
      <alignment horizontal="left"/>
    </xf>
    <xf numFmtId="165" fontId="8" fillId="5" borderId="1" applyAlignment="1" pivotButton="0" quotePrefix="0" xfId="0">
      <alignment horizontal="left"/>
    </xf>
    <xf numFmtId="166" fontId="8" fillId="5" borderId="1" applyAlignment="1" pivotButton="0" quotePrefix="0" xfId="0">
      <alignment horizontal="right"/>
    </xf>
    <xf numFmtId="167" fontId="8" fillId="5" borderId="1" applyAlignment="1" pivotButton="0" quotePrefix="0" xfId="0">
      <alignment horizontal="right"/>
    </xf>
    <xf numFmtId="9" fontId="8" fillId="5" borderId="1" applyAlignment="1" pivotButton="0" quotePrefix="0" xfId="0">
      <alignment horizontal="right"/>
    </xf>
    <xf numFmtId="168" fontId="8" fillId="5" borderId="1" applyAlignment="1" pivotButton="0" quotePrefix="0" xfId="0">
      <alignment horizontal="right"/>
    </xf>
    <xf numFmtId="10" fontId="8" fillId="5" borderId="1" applyAlignment="1" pivotButton="0" quotePrefix="0" xfId="0">
      <alignment horizontal="right"/>
    </xf>
    <xf numFmtId="167" fontId="0" fillId="0" borderId="0" pivotButton="0" quotePrefix="0" xfId="0"/>
    <xf numFmtId="168" fontId="0" fillId="0" borderId="0" pivotButton="0" quotePrefix="0" xfId="0"/>
    <xf numFmtId="10" fontId="0" fillId="0" borderId="0" pivotButton="0" quotePrefix="0" xfId="0"/>
    <xf numFmtId="0" fontId="4" fillId="6" borderId="1" applyAlignment="1" pivotButton="0" quotePrefix="0" xfId="0">
      <alignment horizontal="left"/>
    </xf>
    <xf numFmtId="166" fontId="4" fillId="6" borderId="1" applyAlignment="1" pivotButton="0" quotePrefix="0" xfId="0">
      <alignment horizontal="right"/>
    </xf>
    <xf numFmtId="167" fontId="4" fillId="6" borderId="1" applyAlignment="1" pivotButton="0" quotePrefix="0" xfId="0">
      <alignment horizontal="right"/>
    </xf>
    <xf numFmtId="9" fontId="4" fillId="6" borderId="1" applyAlignment="1" pivotButton="0" quotePrefix="0" xfId="0">
      <alignment horizontal="right"/>
    </xf>
    <xf numFmtId="168" fontId="4" fillId="6" borderId="1" applyAlignment="1" pivotButton="0" quotePrefix="0" xfId="0">
      <alignment horizontal="right"/>
    </xf>
    <xf numFmtId="10" fontId="4" fillId="6" borderId="1" applyAlignment="1" pivotButton="0" quotePrefix="0" xfId="0">
      <alignment horizontal="right"/>
    </xf>
    <xf numFmtId="0" fontId="4" fillId="0" borderId="0" pivotButton="0" quotePrefix="0" xfId="0"/>
    <xf numFmtId="0" fontId="5" fillId="0" borderId="0" pivotButton="0" quotePrefix="0" xfId="0"/>
    <xf numFmtId="165" fontId="4" fillId="0" borderId="0" applyAlignment="1" pivotButton="0" quotePrefix="0" xfId="0">
      <alignment horizontal="left"/>
    </xf>
    <xf numFmtId="0" fontId="4" fillId="5" borderId="1" pivotButton="0" quotePrefix="0" xfId="0"/>
    <xf numFmtId="167" fontId="4" fillId="5" borderId="1" applyAlignment="1" pivotButton="0" quotePrefix="0" xfId="0">
      <alignment horizontal="right"/>
    </xf>
    <xf numFmtId="169" fontId="8" fillId="5" borderId="1" applyAlignment="1" pivotButton="0" quotePrefix="0" xfId="0">
      <alignment horizontal="right"/>
    </xf>
    <xf numFmtId="0" fontId="8" fillId="5" borderId="1" applyAlignment="1" pivotButton="0" quotePrefix="0" xfId="0">
      <alignment horizontal="center"/>
    </xf>
    <xf numFmtId="9" fontId="4" fillId="5" borderId="1" applyAlignment="1" pivotButton="0" quotePrefix="0" xfId="0">
      <alignment horizontal="right"/>
    </xf>
    <xf numFmtId="170" fontId="8" fillId="5" borderId="1" applyAlignment="1" pivotButton="0" quotePrefix="0" xfId="0">
      <alignment horizontal="right"/>
    </xf>
    <xf numFmtId="168" fontId="4" fillId="5" borderId="1" applyAlignment="1" pivotButton="0" quotePrefix="0" xfId="0">
      <alignment horizontal="right"/>
    </xf>
    <xf numFmtId="171" fontId="8" fillId="5" borderId="1" applyAlignment="1" pivotButton="0" quotePrefix="0" xfId="0">
      <alignment horizontal="right"/>
    </xf>
    <xf numFmtId="10" fontId="4" fillId="5" borderId="1" applyAlignment="1" pivotButton="0" quotePrefix="0" xfId="0">
      <alignment horizontal="right"/>
    </xf>
    <xf numFmtId="172" fontId="8" fillId="5" borderId="1" applyAlignment="1" pivotButton="0" quotePrefix="0" xfId="0">
      <alignment horizontal="right"/>
    </xf>
    <xf numFmtId="0" fontId="6" fillId="0" borderId="0" applyAlignment="1" pivotButton="0" quotePrefix="0" xfId="0">
      <alignment vertical="top" wrapText="1"/>
    </xf>
    <xf numFmtId="0" fontId="4" fillId="5" borderId="1" applyAlignment="1" pivotButton="0" quotePrefix="0" xfId="0">
      <alignment vertical="top" wrapText="1"/>
    </xf>
    <xf numFmtId="0" fontId="8" fillId="5" borderId="1" applyAlignment="1" pivotButton="0" quotePrefix="0" xfId="0">
      <alignment vertical="top" wrapText="1"/>
    </xf>
    <xf numFmtId="0" fontId="6" fillId="0" borderId="0" applyAlignment="1" pivotButton="0" quotePrefix="0" xfId="0">
      <alignment horizontal="right"/>
    </xf>
    <xf numFmtId="0" fontId="9" fillId="0" borderId="0" pivotButton="0" quotePrefix="0" xfId="0"/>
    <xf numFmtId="0" fontId="0" fillId="0" borderId="4" pivotButton="0" quotePrefix="0" xfId="0"/>
    <xf numFmtId="0" fontId="0" fillId="0" borderId="5" pivotButton="0" quotePrefix="0" xfId="0"/>
    <xf numFmtId="0" fontId="0" fillId="0" borderId="1" pivotButton="0" quotePrefix="0" xfId="0"/>
    <xf numFmtId="0" fontId="9" fillId="0" borderId="0" applyAlignment="1" pivotButton="0" quotePrefix="0" xfId="0">
      <alignment vertical="top" wrapText="1"/>
    </xf>
    <xf numFmtId="0" fontId="5"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dxfs count="4">
    <dxf>
      <font>
        <i val="1"/>
        <color rgb="00586675"/>
      </font>
      <fill>
        <patternFill patternType="solid">
          <fgColor rgb="00FFFFFF"/>
          <bgColor rgb="00FFFFFF"/>
        </patternFill>
      </fill>
    </dxf>
    <dxf>
      <font>
        <color rgb="000B6B63"/>
      </font>
      <fill>
        <patternFill patternType="solid">
          <fgColor rgb="00DDF3E6"/>
          <bgColor rgb="00DDF3E6"/>
        </patternFill>
      </fill>
    </dxf>
    <dxf>
      <font>
        <b val="1"/>
        <color rgb="008A4B00"/>
      </font>
      <fill>
        <patternFill patternType="solid">
          <fgColor rgb="00FDE7D2"/>
          <bgColor rgb="00FDE7D2"/>
        </patternFill>
      </fill>
    </dxf>
    <dxf>
      <font>
        <b val="1"/>
        <color rgb="000B6B63"/>
      </font>
      <fill>
        <patternFill patternType="solid">
          <fgColor rgb="00DDF3E6"/>
          <bgColor rgb="00DDF3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harts/chart1.xml><?xml version="1.0" encoding="utf-8"?>
<chartSpace xmlns:a="http://schemas.openxmlformats.org/drawingml/2006/main" xmlns="http://schemas.openxmlformats.org/drawingml/2006/chart">
  <style val="12"/>
  <chart>
    <title>
      <tx>
        <rich>
          <a:bodyPr/>
          <a:p>
            <a:pPr>
              <a:defRPr/>
            </a:pPr>
            <a:r>
              <a:t>MTBF: hours of running between failures</a:t>
            </a:r>
          </a:p>
        </rich>
      </tx>
    </title>
    <plotArea>
      <lineChart>
        <grouping val="standard"/>
        <ser>
          <idx val="0"/>
          <order val="0"/>
          <tx>
            <strRef>
              <f>'KPIs'!N5</f>
              <strCache>
                <ptCount val="1"/>
                <pt idx="0">
                  <v>MTBF</v>
                </pt>
              </strCache>
            </strRef>
          </tx>
          <spPr>
            <a:ln w="32000">
              <a:solidFill>
                <a:srgbClr val="0B6B63"/>
              </a:solidFill>
              <a:prstDash val="solid"/>
            </a:ln>
          </spPr>
          <marker>
            <symbol val="circle"/>
            <size val="6"/>
            <spPr>
              <a:solidFill>
                <a:srgbClr val="0B6B63"/>
              </a:solidFill>
              <a:ln>
                <a:solidFill>
                  <a:srgbClr val="0B6B63"/>
                </a:solidFill>
                <a:prstDash val="solid"/>
              </a:ln>
            </spPr>
          </marker>
          <cat>
            <numRef>
              <f>'KPIs'!$A$6:$A$17</f>
              <numCache>
                <formatCode>General</formatCode>
                <ptCount val="12"/>
                <pt idx="0">
                  <v>45931.0</v>
                </pt>
                <pt idx="1">
                  <v>45962.0</v>
                </pt>
                <pt idx="2">
                  <v>45992.0</v>
                </pt>
                <pt idx="3">
                  <v>46023.0</v>
                </pt>
                <pt idx="4">
                  <v>46054.0</v>
                </pt>
                <pt idx="5">
                  <v>46082.0</v>
                </pt>
                <pt idx="6">
                  <v>46113.0</v>
                </pt>
                <pt idx="7">
                  <v>46143.0</v>
                </pt>
                <pt idx="8">
                  <v>46174.0</v>
                </pt>
                <pt idx="9">
                  <v>46204.0</v>
                </pt>
                <pt idx="10">
                  <v>46235.0</v>
                </pt>
                <pt idx="11">
                  <v>46266.0</v>
                </pt>
              </numCache>
            </numRef>
          </cat>
          <val>
            <numRef>
              <f>'KPIs'!$N$6:$N$17</f>
              <numCache>
                <formatCode>General</formatCode>
                <ptCount val="12"/>
                <pt idx="0">
                  <v>40.6875</v>
                </pt>
                <pt idx="1">
                  <v>44.8571428571429</v>
                </pt>
                <pt idx="2">
                  <v>39.9285714285714</v>
                </pt>
                <pt idx="3">
                  <v>54.1666666666667</v>
                </pt>
                <pt idx="4">
                  <v>50.4166666666667</v>
                </pt>
                <pt idx="5">
                  <v>67.4</v>
                </pt>
                <pt idx="6">
                  <v>63.9</v>
                </pt>
                <pt idx="7">
                  <v>82.875</v>
                </pt>
                <pt idx="8">
                  <v>67.6</v>
                </pt>
                <pt idx="9">
                  <v>58.7</v>
                </pt>
                <pt idx="10">
                  <v>79.25</v>
                </pt>
                <pt idx="11">
                  <v>113.833333333333</v>
                </pt>
              </numCache>
            </numRef>
          </val>
          <smooth val="0"/>
        </ser>
        <axId val="10"/>
        <axId val="100"/>
      </lineChart>
      <catAx>
        <axId val="10"/>
        <scaling>
          <orientation val="minMax"/>
        </scaling>
        <delete val="0"/>
        <axPos val="l"/>
        <numFmt formatCode="mmm yy" sourceLinked="0"/>
        <majorTickMark val="none"/>
        <minorTickMark val="none"/>
        <crossAx val="100"/>
        <lblOffset val="100"/>
      </catAx>
      <valAx>
        <axId val="100"/>
        <scaling>
          <orientation val="minMax"/>
          <min val="0"/>
        </scaling>
        <delete val="0"/>
        <axPos val="l"/>
        <majorGridlines/>
        <numFmt formatCode="0" sourceLinked="0"/>
        <majorTickMark val="none"/>
        <minorTickMark val="none"/>
        <crossAx val="10"/>
      </valAx>
    </plotArea>
    <plotVisOnly val="0"/>
    <dispBlanksAs val="gap"/>
  </chart>
</chartSpace>
</file>

<file path=xl/charts/chart2.xml><?xml version="1.0" encoding="utf-8"?>
<chartSpace xmlns:a="http://schemas.openxmlformats.org/drawingml/2006/main" xmlns="http://schemas.openxmlformats.org/drawingml/2006/chart">
  <style val="10"/>
  <chart>
    <title>
      <tx>
        <rich>
          <a:bodyPr/>
          <a:p>
            <a:pPr>
              <a:defRPr/>
            </a:pPr>
            <a:r>
              <a:t>Hours per failure: time to restore and hands-on repair</a:t>
            </a:r>
          </a:p>
        </rich>
      </tx>
    </title>
    <plotArea>
      <barChart>
        <barDir val="col"/>
        <grouping val="clustered"/>
        <ser>
          <idx val="0"/>
          <order val="0"/>
          <tx>
            <strRef>
              <f>'KPIs'!O5</f>
              <strCache>
                <ptCount val="1"/>
                <pt idx="0">
                  <v>MTTR, time to restore</v>
                </pt>
              </strCache>
            </strRef>
          </tx>
          <spPr>
            <a:solidFill>
              <a:srgbClr val="0B6B63"/>
            </a:solidFill>
            <a:ln>
              <a:solidFill>
                <a:srgbClr val="0B6B63"/>
              </a:solidFill>
              <a:prstDash val="solid"/>
            </a:ln>
          </spPr>
          <cat>
            <numRef>
              <f>'KPIs'!$A$6:$A$17</f>
              <numCache>
                <formatCode>General</formatCode>
                <ptCount val="12"/>
                <pt idx="0">
                  <v>45931.0</v>
                </pt>
                <pt idx="1">
                  <v>45962.0</v>
                </pt>
                <pt idx="2">
                  <v>45992.0</v>
                </pt>
                <pt idx="3">
                  <v>46023.0</v>
                </pt>
                <pt idx="4">
                  <v>46054.0</v>
                </pt>
                <pt idx="5">
                  <v>46082.0</v>
                </pt>
                <pt idx="6">
                  <v>46113.0</v>
                </pt>
                <pt idx="7">
                  <v>46143.0</v>
                </pt>
                <pt idx="8">
                  <v>46174.0</v>
                </pt>
                <pt idx="9">
                  <v>46204.0</v>
                </pt>
                <pt idx="10">
                  <v>46235.0</v>
                </pt>
                <pt idx="11">
                  <v>46266.0</v>
                </pt>
              </numCache>
            </numRef>
          </cat>
          <val>
            <numRef>
              <f>'KPIs'!$O$6:$O$17</f>
              <numCache>
                <formatCode>General</formatCode>
                <ptCount val="12"/>
                <pt idx="0">
                  <v>3.3125</v>
                </pt>
                <pt idx="1">
                  <v>3.14285714285714</v>
                </pt>
                <pt idx="2">
                  <v>3.5</v>
                </pt>
                <pt idx="3">
                  <v>3.16666666666667</v>
                </pt>
                <pt idx="4">
                  <v>2.91666666666667</v>
                </pt>
                <pt idx="5">
                  <v>3.0</v>
                </pt>
                <pt idx="6">
                  <v>3.3</v>
                </pt>
                <pt idx="7">
                  <v>3.125</v>
                </pt>
                <pt idx="8">
                  <v>2.8</v>
                </pt>
                <pt idx="9">
                  <v>3.7</v>
                </pt>
                <pt idx="10">
                  <v>2.75</v>
                </pt>
                <pt idx="11">
                  <v>3.5</v>
                </pt>
              </numCache>
            </numRef>
          </val>
        </ser>
        <ser>
          <idx val="1"/>
          <order val="1"/>
          <tx>
            <strRef>
              <f>'KPIs'!P5</f>
              <strCache>
                <ptCount val="1"/>
                <pt idx="0">
                  <v>Hands-on repair</v>
                </pt>
              </strCache>
            </strRef>
          </tx>
          <spPr>
            <a:solidFill>
              <a:srgbClr val="F3A118"/>
            </a:solidFill>
            <a:ln>
              <a:solidFill>
                <a:srgbClr val="F3A118"/>
              </a:solidFill>
              <a:prstDash val="solid"/>
            </a:ln>
          </spPr>
          <cat>
            <numRef>
              <f>'KPIs'!$A$6:$A$17</f>
              <numCache>
                <formatCode>General</formatCode>
                <ptCount val="12"/>
                <pt idx="0">
                  <v>45931.0</v>
                </pt>
                <pt idx="1">
                  <v>45962.0</v>
                </pt>
                <pt idx="2">
                  <v>45992.0</v>
                </pt>
                <pt idx="3">
                  <v>46023.0</v>
                </pt>
                <pt idx="4">
                  <v>46054.0</v>
                </pt>
                <pt idx="5">
                  <v>46082.0</v>
                </pt>
                <pt idx="6">
                  <v>46113.0</v>
                </pt>
                <pt idx="7">
                  <v>46143.0</v>
                </pt>
                <pt idx="8">
                  <v>46174.0</v>
                </pt>
                <pt idx="9">
                  <v>46204.0</v>
                </pt>
                <pt idx="10">
                  <v>46235.0</v>
                </pt>
                <pt idx="11">
                  <v>46266.0</v>
                </pt>
              </numCache>
            </numRef>
          </cat>
          <val>
            <numRef>
              <f>'KPIs'!$P$6:$P$17</f>
              <numCache>
                <formatCode>General</formatCode>
                <ptCount val="12"/>
                <pt idx="0">
                  <v>1.375</v>
                </pt>
                <pt idx="1">
                  <v>1.35714285714286</v>
                </pt>
                <pt idx="2">
                  <v>1.42857142857143</v>
                </pt>
                <pt idx="3">
                  <v>1.5</v>
                </pt>
                <pt idx="4">
                  <v>1.41666666666667</v>
                </pt>
                <pt idx="5">
                  <v>1.5</v>
                </pt>
                <pt idx="6">
                  <v>1.4</v>
                </pt>
                <pt idx="7">
                  <v>1.5</v>
                </pt>
                <pt idx="8">
                  <v>1.3</v>
                </pt>
                <pt idx="9">
                  <v>1.4</v>
                </pt>
                <pt idx="10">
                  <v>1.375</v>
                </pt>
                <pt idx="11">
                  <v>1.66666666666667</v>
                </pt>
              </numCache>
            </numRef>
          </val>
        </ser>
        <gapWidth val="80"/>
        <axId val="10"/>
        <axId val="100"/>
      </barChart>
      <catAx>
        <axId val="10"/>
        <scaling>
          <orientation val="minMax"/>
        </scaling>
        <delete val="0"/>
        <axPos val="l"/>
        <numFmt formatCode="mmm yy" sourceLinked="0"/>
        <majorTickMark val="none"/>
        <minorTickMark val="none"/>
        <crossAx val="100"/>
        <lblOffset val="100"/>
      </catAx>
      <valAx>
        <axId val="100"/>
        <scaling>
          <orientation val="minMax"/>
          <min val="0"/>
        </scaling>
        <delete val="0"/>
        <axPos val="l"/>
        <majorGridlines/>
        <numFmt formatCode="0.0" sourceLinked="0"/>
        <majorTickMark val="none"/>
        <minorTickMark val="none"/>
        <crossAx val="10"/>
      </valAx>
    </plotArea>
    <legend>
      <legendPos val="b"/>
    </legend>
    <plotVisOnly val="0"/>
    <dispBlanksAs val="gap"/>
  </chart>
</chartSpace>
</file>

<file path=xl/charts/chart3.xml><?xml version="1.0" encoding="utf-8"?>
<chartSpace xmlns:a="http://schemas.openxmlformats.org/drawingml/2006/main" xmlns="http://schemas.openxmlformats.org/drawingml/2006/chart">
  <style val="12"/>
  <chart>
    <title>
      <tx>
        <rich>
          <a:bodyPr/>
          <a:p>
            <a:pPr>
              <a:defRPr/>
            </a:pPr>
            <a:r>
              <a:t>Availability, PM compliance and planned maintenance</a:t>
            </a:r>
          </a:p>
        </rich>
      </tx>
    </title>
    <plotArea>
      <lineChart>
        <grouping val="standard"/>
        <ser>
          <idx val="0"/>
          <order val="0"/>
          <tx>
            <strRef>
              <f>'KPIs'!Q5</f>
              <strCache>
                <ptCount val="1"/>
                <pt idx="0">
                  <v>Availability from failures</v>
                </pt>
              </strCache>
            </strRef>
          </tx>
          <spPr>
            <a:ln w="26000">
              <a:solidFill>
                <a:srgbClr val="5B8DEF"/>
              </a:solidFill>
              <a:prstDash val="solid"/>
            </a:ln>
          </spPr>
          <marker>
            <symbol val="circle"/>
            <size val="5"/>
            <spPr>
              <a:solidFill>
                <a:srgbClr val="5B8DEF"/>
              </a:solidFill>
              <a:ln>
                <a:solidFill>
                  <a:srgbClr val="5B8DEF"/>
                </a:solidFill>
                <a:prstDash val="solid"/>
              </a:ln>
            </spPr>
          </marker>
          <cat>
            <numRef>
              <f>'KPIs'!$A$6:$A$17</f>
              <numCache>
                <formatCode>General</formatCode>
                <ptCount val="12"/>
                <pt idx="0">
                  <v>45931.0</v>
                </pt>
                <pt idx="1">
                  <v>45962.0</v>
                </pt>
                <pt idx="2">
                  <v>45992.0</v>
                </pt>
                <pt idx="3">
                  <v>46023.0</v>
                </pt>
                <pt idx="4">
                  <v>46054.0</v>
                </pt>
                <pt idx="5">
                  <v>46082.0</v>
                </pt>
                <pt idx="6">
                  <v>46113.0</v>
                </pt>
                <pt idx="7">
                  <v>46143.0</v>
                </pt>
                <pt idx="8">
                  <v>46174.0</v>
                </pt>
                <pt idx="9">
                  <v>46204.0</v>
                </pt>
                <pt idx="10">
                  <v>46235.0</v>
                </pt>
                <pt idx="11">
                  <v>46266.0</v>
                </pt>
              </numCache>
            </numRef>
          </cat>
          <val>
            <numRef>
              <f>'KPIs'!$Q$6:$Q$17</f>
              <numCache>
                <formatCode>General</formatCode>
                <ptCount val="12"/>
                <pt idx="0">
                  <v>0.924715909090909</v>
                </pt>
                <pt idx="1">
                  <v>0.93452380952381</v>
                </pt>
                <pt idx="2">
                  <v>0.919407894736842</v>
                </pt>
                <pt idx="3">
                  <v>0.944767441860465</v>
                </pt>
                <pt idx="4">
                  <v>0.9453125</v>
                </pt>
                <pt idx="5">
                  <v>0.957386363636364</v>
                </pt>
                <pt idx="6">
                  <v>0.950892857142857</v>
                </pt>
                <pt idx="7">
                  <v>0.963662790697675</v>
                </pt>
                <pt idx="8">
                  <v>0.960227272727273</v>
                </pt>
                <pt idx="9">
                  <v>0.940705128205128</v>
                </pt>
                <pt idx="10">
                  <v>0.966463414634146</v>
                </pt>
                <pt idx="11">
                  <v>0.970170454545455</v>
                </pt>
              </numCache>
            </numRef>
          </val>
          <smooth val="0"/>
        </ser>
        <ser>
          <idx val="1"/>
          <order val="1"/>
          <tx>
            <strRef>
              <f>'KPIs'!R5</f>
              <strCache>
                <ptCount val="1"/>
                <pt idx="0">
                  <v>PM compliance</v>
                </pt>
              </strCache>
            </strRef>
          </tx>
          <spPr>
            <a:ln w="26000">
              <a:solidFill>
                <a:srgbClr val="0B6B63"/>
              </a:solidFill>
              <a:prstDash val="solid"/>
            </a:ln>
          </spPr>
          <marker>
            <symbol val="circle"/>
            <size val="5"/>
            <spPr>
              <a:solidFill>
                <a:srgbClr val="0B6B63"/>
              </a:solidFill>
              <a:ln>
                <a:solidFill>
                  <a:srgbClr val="0B6B63"/>
                </a:solidFill>
                <a:prstDash val="solid"/>
              </a:ln>
            </spPr>
          </marker>
          <cat>
            <numRef>
              <f>'KPIs'!$A$6:$A$17</f>
              <numCache>
                <formatCode>General</formatCode>
                <ptCount val="12"/>
                <pt idx="0">
                  <v>45931.0</v>
                </pt>
                <pt idx="1">
                  <v>45962.0</v>
                </pt>
                <pt idx="2">
                  <v>45992.0</v>
                </pt>
                <pt idx="3">
                  <v>46023.0</v>
                </pt>
                <pt idx="4">
                  <v>46054.0</v>
                </pt>
                <pt idx="5">
                  <v>46082.0</v>
                </pt>
                <pt idx="6">
                  <v>46113.0</v>
                </pt>
                <pt idx="7">
                  <v>46143.0</v>
                </pt>
                <pt idx="8">
                  <v>46174.0</v>
                </pt>
                <pt idx="9">
                  <v>46204.0</v>
                </pt>
                <pt idx="10">
                  <v>46235.0</v>
                </pt>
                <pt idx="11">
                  <v>46266.0</v>
                </pt>
              </numCache>
            </numRef>
          </cat>
          <val>
            <numRef>
              <f>'KPIs'!$R$6:$R$17</f>
              <numCache>
                <formatCode>General</formatCode>
                <ptCount val="12"/>
                <pt idx="0">
                  <v>0.738095238095238</v>
                </pt>
                <pt idx="1">
                  <v>0.775</v>
                </pt>
                <pt idx="2">
                  <v>0.777777777777778</v>
                </pt>
                <pt idx="3">
                  <v>0.80952380952381</v>
                </pt>
                <pt idx="4">
                  <v>0.85</v>
                </pt>
                <pt idx="5">
                  <v>0.886363636363636</v>
                </pt>
                <pt idx="6">
                  <v>0.880952380952381</v>
                </pt>
                <pt idx="7">
                  <v>0.909090909090909</v>
                </pt>
                <pt idx="8">
                  <v>0.931818181818182</v>
                </pt>
                <pt idx="9">
                  <v>0.825</v>
                </pt>
                <pt idx="10">
                  <v>0.952380952380952</v>
                </pt>
                <pt idx="11">
                  <v>0.956521739130435</v>
                </pt>
              </numCache>
            </numRef>
          </val>
          <smooth val="0"/>
        </ser>
        <ser>
          <idx val="2"/>
          <order val="2"/>
          <tx>
            <strRef>
              <f>'KPIs'!S5</f>
              <strCache>
                <ptCount val="1"/>
                <pt idx="0">
                  <v>Planned maintenance</v>
                </pt>
              </strCache>
            </strRef>
          </tx>
          <spPr>
            <a:ln w="26000">
              <a:solidFill>
                <a:srgbClr val="F3A118"/>
              </a:solidFill>
              <a:prstDash val="solid"/>
            </a:ln>
          </spPr>
          <marker>
            <symbol val="circle"/>
            <size val="5"/>
            <spPr>
              <a:solidFill>
                <a:srgbClr val="F3A118"/>
              </a:solidFill>
              <a:ln>
                <a:solidFill>
                  <a:srgbClr val="F3A118"/>
                </a:solidFill>
                <a:prstDash val="solid"/>
              </a:ln>
            </spPr>
          </marker>
          <cat>
            <numRef>
              <f>'KPIs'!$A$6:$A$17</f>
              <numCache>
                <formatCode>General</formatCode>
                <ptCount val="12"/>
                <pt idx="0">
                  <v>45931.0</v>
                </pt>
                <pt idx="1">
                  <v>45962.0</v>
                </pt>
                <pt idx="2">
                  <v>45992.0</v>
                </pt>
                <pt idx="3">
                  <v>46023.0</v>
                </pt>
                <pt idx="4">
                  <v>46054.0</v>
                </pt>
                <pt idx="5">
                  <v>46082.0</v>
                </pt>
                <pt idx="6">
                  <v>46113.0</v>
                </pt>
                <pt idx="7">
                  <v>46143.0</v>
                </pt>
                <pt idx="8">
                  <v>46174.0</v>
                </pt>
                <pt idx="9">
                  <v>46204.0</v>
                </pt>
                <pt idx="10">
                  <v>46235.0</v>
                </pt>
                <pt idx="11">
                  <v>46266.0</v>
                </pt>
              </numCache>
            </numRef>
          </cat>
          <val>
            <numRef>
              <f>'KPIs'!$S$6:$S$17</f>
              <numCache>
                <formatCode>General</formatCode>
                <ptCount val="12"/>
                <pt idx="0">
                  <v>0.563758389261745</v>
                </pt>
                <pt idx="1">
                  <v>0.6</v>
                </pt>
                <pt idx="2">
                  <v>0.572519083969466</v>
                </pt>
                <pt idx="3">
                  <v>0.645833333333333</v>
                </pt>
                <pt idx="4">
                  <v>0.678571428571429</v>
                </pt>
                <pt idx="5">
                  <v>0.722972972972973</v>
                </pt>
                <pt idx="6">
                  <v>0.719298245614035</v>
                </pt>
                <pt idx="7">
                  <v>0.772413793103448</v>
                </pt>
                <pt idx="8">
                  <v>0.773972602739726</v>
                </pt>
                <pt idx="9">
                  <v>0.67910447761194</v>
                </pt>
                <pt idx="10">
                  <v>0.792857142857143</v>
                </pt>
                <pt idx="11">
                  <v>0.815068493150685</v>
                </pt>
              </numCache>
            </numRef>
          </val>
          <smooth val="0"/>
        </ser>
        <axId val="10"/>
        <axId val="100"/>
      </lineChart>
      <catAx>
        <axId val="10"/>
        <scaling>
          <orientation val="minMax"/>
        </scaling>
        <delete val="0"/>
        <axPos val="l"/>
        <numFmt formatCode="mmm yy" sourceLinked="0"/>
        <majorTickMark val="none"/>
        <minorTickMark val="none"/>
        <crossAx val="100"/>
        <lblOffset val="100"/>
      </catAx>
      <valAx>
        <axId val="100"/>
        <scaling>
          <orientation val="minMax"/>
          <max val="1"/>
          <min val="0"/>
        </scaling>
        <delete val="0"/>
        <axPos val="l"/>
        <majorGridlines/>
        <numFmt formatCode="0%" sourceLinked="0"/>
        <majorTickMark val="none"/>
        <minorTickMark val="none"/>
        <crossAx val="10"/>
      </valAx>
    </plotArea>
    <legend>
      <legendPos val="b"/>
    </legend>
    <plotVisOnly val="0"/>
    <dispBlanksAs val="gap"/>
  </chart>
</chartSpace>
</file>

<file path=xl/charts/chart4.xml><?xml version="1.0" encoding="utf-8"?>
<chartSpace xmlns:a="http://schemas.openxmlformats.org/drawingml/2006/main" xmlns="http://schemas.openxmlformats.org/drawingml/2006/chart">
  <style val="10"/>
  <chart>
    <title>
      <tx>
        <rich>
          <a:bodyPr/>
          <a:p>
            <a:pPr>
              <a:defRPr/>
            </a:pPr>
            <a:r>
              <a:t>Backlog of ready work, in crew weeks</a:t>
            </a:r>
          </a:p>
        </rich>
      </tx>
    </title>
    <plotArea>
      <barChart>
        <barDir val="col"/>
        <grouping val="clustered"/>
        <ser>
          <idx val="0"/>
          <order val="0"/>
          <tx>
            <strRef>
              <f>'KPIs'!T5</f>
              <strCache>
                <ptCount val="1"/>
                <pt idx="0">
                  <v>Backlog (crew weeks)</v>
                </pt>
              </strCache>
            </strRef>
          </tx>
          <spPr>
            <a:solidFill>
              <a:srgbClr val="7C8B9C"/>
            </a:solidFill>
            <a:ln>
              <a:solidFill>
                <a:srgbClr val="7C8B9C"/>
              </a:solidFill>
              <a:prstDash val="solid"/>
            </a:ln>
          </spPr>
          <cat>
            <numRef>
              <f>'KPIs'!$A$6:$A$17</f>
              <numCache>
                <formatCode>General</formatCode>
                <ptCount val="12"/>
                <pt idx="0">
                  <v>45931.0</v>
                </pt>
                <pt idx="1">
                  <v>45962.0</v>
                </pt>
                <pt idx="2">
                  <v>45992.0</v>
                </pt>
                <pt idx="3">
                  <v>46023.0</v>
                </pt>
                <pt idx="4">
                  <v>46054.0</v>
                </pt>
                <pt idx="5">
                  <v>46082.0</v>
                </pt>
                <pt idx="6">
                  <v>46113.0</v>
                </pt>
                <pt idx="7">
                  <v>46143.0</v>
                </pt>
                <pt idx="8">
                  <v>46174.0</v>
                </pt>
                <pt idx="9">
                  <v>46204.0</v>
                </pt>
                <pt idx="10">
                  <v>46235.0</v>
                </pt>
                <pt idx="11">
                  <v>46266.0</v>
                </pt>
              </numCache>
            </numRef>
          </cat>
          <val>
            <numRef>
              <f>'KPIs'!$T$6:$T$17</f>
              <numCache>
                <formatCode>General</formatCode>
                <ptCount val="12"/>
                <pt idx="0">
                  <v>3.74285714285714</v>
                </pt>
                <pt idx="1">
                  <v>3.54285714285714</v>
                </pt>
                <pt idx="2">
                  <v>3.86363636363636</v>
                </pt>
                <pt idx="3">
                  <v>3.37142857142857</v>
                </pt>
                <pt idx="4">
                  <v>3.11428571428571</v>
                </pt>
                <pt idx="5">
                  <v>2.91428571428571</v>
                </pt>
                <pt idx="6">
                  <v>2.82857142857143</v>
                </pt>
                <pt idx="7">
                  <v>2.65714285714286</v>
                </pt>
                <pt idx="8">
                  <v>2.57142857142857</v>
                </pt>
                <pt idx="9">
                  <v>3.56666666666667</v>
                </pt>
                <pt idx="10">
                  <v>2.51428571428571</v>
                </pt>
                <pt idx="11">
                  <v>2.4</v>
                </pt>
              </numCache>
            </numRef>
          </val>
        </ser>
        <gapWidth val="80"/>
        <axId val="10"/>
        <axId val="100"/>
      </barChart>
      <catAx>
        <axId val="10"/>
        <scaling>
          <orientation val="minMax"/>
        </scaling>
        <delete val="0"/>
        <axPos val="l"/>
        <numFmt formatCode="mmm yy" sourceLinked="0"/>
        <majorTickMark val="none"/>
        <minorTickMark val="none"/>
        <crossAx val="100"/>
        <lblOffset val="100"/>
      </catAx>
      <valAx>
        <axId val="100"/>
        <scaling>
          <orientation val="minMax"/>
          <min val="0"/>
        </scaling>
        <delete val="0"/>
        <axPos val="l"/>
        <majorGridlines/>
        <numFmt formatCode="0.0" sourceLinked="0"/>
        <majorTickMark val="none"/>
        <minorTickMark val="none"/>
        <crossAx val="10"/>
      </valAx>
    </plotArea>
    <plotVisOnly val="0"/>
    <dispBlanksAs val="gap"/>
  </chart>
</chartSpace>
</file>

<file path=xl/charts/chart5.xml><?xml version="1.0" encoding="utf-8"?>
<chartSpace xmlns:a="http://schemas.openxmlformats.org/drawingml/2006/main" xmlns="http://schemas.openxmlformats.org/drawingml/2006/chart">
  <style val="10"/>
  <chart>
    <title>
      <tx>
        <rich>
          <a:bodyPr/>
          <a:p>
            <a:pPr>
              <a:defRPr/>
            </a:pPr>
            <a:r>
              <a:t>Maintenance cost as % of RAV, a year</a:t>
            </a:r>
          </a:p>
        </rich>
      </tx>
    </title>
    <plotArea>
      <barChart>
        <barDir val="col"/>
        <grouping val="clustered"/>
        <ser>
          <idx val="0"/>
          <order val="0"/>
          <tx>
            <strRef>
              <f>'KPIs'!U5</f>
              <strCache>
                <ptCount val="1"/>
                <pt idx="0">
                  <v>Cost as % of RAV, a year</v>
                </pt>
              </strCache>
            </strRef>
          </tx>
          <spPr>
            <a:solidFill>
              <a:srgbClr val="5B8DEF"/>
            </a:solidFill>
            <a:ln>
              <a:solidFill>
                <a:srgbClr val="5B8DEF"/>
              </a:solidFill>
              <a:prstDash val="solid"/>
            </a:ln>
          </spPr>
          <cat>
            <numRef>
              <f>'KPIs'!$A$6:$A$17</f>
              <numCache>
                <formatCode>General</formatCode>
                <ptCount val="12"/>
                <pt idx="0">
                  <v>45931.0</v>
                </pt>
                <pt idx="1">
                  <v>45962.0</v>
                </pt>
                <pt idx="2">
                  <v>45992.0</v>
                </pt>
                <pt idx="3">
                  <v>46023.0</v>
                </pt>
                <pt idx="4">
                  <v>46054.0</v>
                </pt>
                <pt idx="5">
                  <v>46082.0</v>
                </pt>
                <pt idx="6">
                  <v>46113.0</v>
                </pt>
                <pt idx="7">
                  <v>46143.0</v>
                </pt>
                <pt idx="8">
                  <v>46174.0</v>
                </pt>
                <pt idx="9">
                  <v>46204.0</v>
                </pt>
                <pt idx="10">
                  <v>46235.0</v>
                </pt>
                <pt idx="11">
                  <v>46266.0</v>
                </pt>
              </numCache>
            </numRef>
          </cat>
          <val>
            <numRef>
              <f>'KPIs'!$U$6:$U$17</f>
              <numCache>
                <formatCode>General</formatCode>
                <ptCount val="12"/>
                <pt idx="0">
                  <v>0.051</v>
                </pt>
                <pt idx="1">
                  <v>0.0485</v>
                </pt>
                <pt idx="2">
                  <v>0.0495</v>
                </pt>
                <pt idx="3">
                  <v>0.0455</v>
                </pt>
                <pt idx="4">
                  <v>0.044</v>
                </pt>
                <pt idx="5">
                  <v>0.0415</v>
                </pt>
                <pt idx="6">
                  <v>0.0385714285714286</v>
                </pt>
                <pt idx="7">
                  <v>0.0361904761904762</v>
                </pt>
                <pt idx="8">
                  <v>0.0371428571428571</v>
                </pt>
                <pt idx="9">
                  <v>0.040952380952381</v>
                </pt>
                <pt idx="10">
                  <v>0.0338095238095238</v>
                </pt>
                <pt idx="11">
                  <v>0.0328571428571429</v>
                </pt>
              </numCache>
            </numRef>
          </val>
        </ser>
        <gapWidth val="80"/>
        <axId val="10"/>
        <axId val="100"/>
      </barChart>
      <lineChart>
        <grouping val="standard"/>
        <ser>
          <idx val="1"/>
          <order val="1"/>
          <tx>
            <strRef>
              <f>'KPIs'!V5</f>
              <strCache>
                <ptCount val="1"/>
                <pt idx="0">
                  <v>SMRP: top performers under 3%</v>
                </pt>
              </strCache>
            </strRef>
          </tx>
          <spPr>
            <a:ln w="22000">
              <a:solidFill>
                <a:srgbClr val="E5484D"/>
              </a:solidFill>
              <a:prstDash val="dash"/>
            </a:ln>
          </spPr>
          <marker>
            <symbol val="none"/>
            <spPr>
              <a:ln>
                <a:prstDash val="solid"/>
              </a:ln>
            </spPr>
          </marker>
          <cat>
            <numRef>
              <f>'KPIs'!$A$6:$A$17</f>
              <numCache>
                <formatCode>General</formatCode>
                <ptCount val="12"/>
                <pt idx="0">
                  <v>45931.0</v>
                </pt>
                <pt idx="1">
                  <v>45962.0</v>
                </pt>
                <pt idx="2">
                  <v>45992.0</v>
                </pt>
                <pt idx="3">
                  <v>46023.0</v>
                </pt>
                <pt idx="4">
                  <v>46054.0</v>
                </pt>
                <pt idx="5">
                  <v>46082.0</v>
                </pt>
                <pt idx="6">
                  <v>46113.0</v>
                </pt>
                <pt idx="7">
                  <v>46143.0</v>
                </pt>
                <pt idx="8">
                  <v>46174.0</v>
                </pt>
                <pt idx="9">
                  <v>46204.0</v>
                </pt>
                <pt idx="10">
                  <v>46235.0</v>
                </pt>
                <pt idx="11">
                  <v>46266.0</v>
                </pt>
              </numCache>
            </numRef>
          </cat>
          <val>
            <numRef>
              <f>'KPIs'!$V$6:$V$17</f>
              <numCache>
                <formatCode>General</formatCode>
                <ptCount val="12"/>
                <pt idx="0">
                  <v>0.03</v>
                </pt>
                <pt idx="1">
                  <v>0.03</v>
                </pt>
                <pt idx="2">
                  <v>0.03</v>
                </pt>
                <pt idx="3">
                  <v>0.03</v>
                </pt>
                <pt idx="4">
                  <v>0.03</v>
                </pt>
                <pt idx="5">
                  <v>0.03</v>
                </pt>
                <pt idx="6">
                  <v>0.03</v>
                </pt>
                <pt idx="7">
                  <v>0.03</v>
                </pt>
                <pt idx="8">
                  <v>0.03</v>
                </pt>
                <pt idx="9">
                  <v>0.03</v>
                </pt>
                <pt idx="10">
                  <v>0.03</v>
                </pt>
                <pt idx="11">
                  <v>0.03</v>
                </pt>
              </numCache>
            </numRef>
          </val>
          <smooth val="0"/>
        </ser>
        <axId val="10"/>
        <axId val="100"/>
      </lineChart>
      <catAx>
        <axId val="10"/>
        <scaling>
          <orientation val="minMax"/>
        </scaling>
        <delete val="0"/>
        <axPos val="l"/>
        <numFmt formatCode="mmm yy" sourceLinked="0"/>
        <majorTickMark val="none"/>
        <minorTickMark val="none"/>
        <crossAx val="100"/>
        <lblOffset val="100"/>
      </catAx>
      <valAx>
        <axId val="100"/>
        <scaling>
          <orientation val="minMax"/>
          <min val="0"/>
        </scaling>
        <delete val="0"/>
        <axPos val="l"/>
        <majorGridlines/>
        <numFmt formatCode="0.0%" sourceLinked="0"/>
        <majorTickMark val="none"/>
        <minorTickMark val="none"/>
        <crossAx val="10"/>
      </valAx>
    </plotArea>
    <legend>
      <legendPos val="b"/>
    </legend>
    <plotVisOnly val="0"/>
    <dispBlanksAs val="gap"/>
  </chart>
</chartSpace>
</file>

<file path=xl/charts/chart6.xml><?xml version="1.0" encoding="utf-8"?>
<chartSpace xmlns:a="http://schemas.openxmlformats.org/drawingml/2006/main" xmlns="http://schemas.openxmlformats.org/drawingml/2006/chart">
  <style val="10"/>
  <chart>
    <title>
      <tx>
        <rich>
          <a:bodyPr/>
          <a:p>
            <a:pPr>
              <a:defRPr/>
            </a:pPr>
            <a:r>
              <a:t>Failures per month</a:t>
            </a:r>
          </a:p>
        </rich>
      </tx>
    </title>
    <plotArea>
      <barChart>
        <barDir val="col"/>
        <grouping val="clustered"/>
        <ser>
          <idx val="0"/>
          <order val="0"/>
          <tx>
            <strRef>
              <f>'KPIs'!W5</f>
              <strCache>
                <ptCount val="1"/>
                <pt idx="0">
                  <v>Failures</v>
                </pt>
              </strCache>
            </strRef>
          </tx>
          <spPr>
            <a:solidFill>
              <a:srgbClr val="E5484D"/>
            </a:solidFill>
            <a:ln>
              <a:solidFill>
                <a:srgbClr val="E5484D"/>
              </a:solidFill>
              <a:prstDash val="solid"/>
            </a:ln>
          </spPr>
          <cat>
            <numRef>
              <f>'KPIs'!$A$6:$A$17</f>
              <numCache>
                <formatCode>General</formatCode>
                <ptCount val="12"/>
                <pt idx="0">
                  <v>45931.0</v>
                </pt>
                <pt idx="1">
                  <v>45962.0</v>
                </pt>
                <pt idx="2">
                  <v>45992.0</v>
                </pt>
                <pt idx="3">
                  <v>46023.0</v>
                </pt>
                <pt idx="4">
                  <v>46054.0</v>
                </pt>
                <pt idx="5">
                  <v>46082.0</v>
                </pt>
                <pt idx="6">
                  <v>46113.0</v>
                </pt>
                <pt idx="7">
                  <v>46143.0</v>
                </pt>
                <pt idx="8">
                  <v>46174.0</v>
                </pt>
                <pt idx="9">
                  <v>46204.0</v>
                </pt>
                <pt idx="10">
                  <v>46235.0</v>
                </pt>
                <pt idx="11">
                  <v>46266.0</v>
                </pt>
              </numCache>
            </numRef>
          </cat>
          <val>
            <numRef>
              <f>'KPIs'!$W$6:$W$17</f>
              <numCache>
                <formatCode>General</formatCode>
                <ptCount val="12"/>
                <pt idx="0">
                  <v>8.0</v>
                </pt>
                <pt idx="1">
                  <v>7.0</v>
                </pt>
                <pt idx="2">
                  <v>7.0</v>
                </pt>
                <pt idx="3">
                  <v>6.0</v>
                </pt>
                <pt idx="4">
                  <v>6.0</v>
                </pt>
                <pt idx="5">
                  <v>5.0</v>
                </pt>
                <pt idx="6">
                  <v>5.0</v>
                </pt>
                <pt idx="7">
                  <v>4.0</v>
                </pt>
                <pt idx="8">
                  <v>5.0</v>
                </pt>
                <pt idx="9">
                  <v>5.0</v>
                </pt>
                <pt idx="10">
                  <v>4.0</v>
                </pt>
                <pt idx="11">
                  <v>3.0</v>
                </pt>
              </numCache>
            </numRef>
          </val>
        </ser>
        <gapWidth val="80"/>
        <axId val="10"/>
        <axId val="100"/>
      </barChart>
      <catAx>
        <axId val="10"/>
        <scaling>
          <orientation val="minMax"/>
        </scaling>
        <delete val="0"/>
        <axPos val="l"/>
        <numFmt formatCode="mmm yy" sourceLinked="0"/>
        <majorTickMark val="none"/>
        <minorTickMark val="none"/>
        <crossAx val="100"/>
        <lblOffset val="100"/>
      </catAx>
      <valAx>
        <axId val="100"/>
        <scaling>
          <orientation val="minMax"/>
          <min val="0"/>
        </scaling>
        <delete val="0"/>
        <axPos val="l"/>
        <majorGridlines/>
        <numFmt formatCode="0" sourceLinked="0"/>
        <majorTickMark val="none"/>
        <minorTickMark val="none"/>
        <crossAx val="10"/>
      </valAx>
    </plotArea>
    <plotVisOnly val="0"/>
    <dispBlanksAs val="gap"/>
  </chart>
</chartSpace>
</file>

<file path=xl/drawings/_rels/drawing1.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 Type="http://schemas.openxmlformats.org/officeDocument/2006/relationships/chart" Target="/xl/charts/chart3.xml" Id="rId3" /><Relationship Type="http://schemas.openxmlformats.org/officeDocument/2006/relationships/chart" Target="/xl/charts/chart4.xml" Id="rId4" /><Relationship Type="http://schemas.openxmlformats.org/officeDocument/2006/relationships/chart" Target="/xl/charts/chart5.xml" Id="rId5" /><Relationship Type="http://schemas.openxmlformats.org/officeDocument/2006/relationships/chart" Target="/xl/charts/chart6.xml" Id="rId6"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19</row>
      <rowOff>0</rowOff>
    </from>
    <ext cx="4896000" cy="2592000"/>
    <graphicFrame>
      <nvGraphicFramePr>
        <cNvPr id="1" name="Chart 1"/>
        <cNvGraphicFramePr/>
      </nvGraphicFramePr>
      <xfrm/>
      <a:graphic>
        <a:graphicData uri="http://schemas.openxmlformats.org/drawingml/2006/chart">
          <c:chart r:id="rId1"/>
        </a:graphicData>
      </a:graphic>
    </graphicFrame>
    <clientData/>
  </oneCellAnchor>
  <oneCellAnchor>
    <from>
      <col>4</col>
      <colOff>0</colOff>
      <row>19</row>
      <rowOff>0</rowOff>
    </from>
    <ext cx="4896000" cy="2592000"/>
    <graphicFrame>
      <nvGraphicFramePr>
        <cNvPr id="2" name="Chart 2"/>
        <cNvGraphicFramePr/>
      </nvGraphicFramePr>
      <xfrm/>
      <a:graphic>
        <a:graphicData uri="http://schemas.openxmlformats.org/drawingml/2006/chart">
          <c:chart r:id="rId2"/>
        </a:graphicData>
      </a:graphic>
    </graphicFrame>
    <clientData/>
  </oneCellAnchor>
  <oneCellAnchor>
    <from>
      <col>0</col>
      <colOff>0</colOff>
      <row>34</row>
      <rowOff>0</rowOff>
    </from>
    <ext cx="4896000" cy="2592000"/>
    <graphicFrame>
      <nvGraphicFramePr>
        <cNvPr id="3" name="Chart 3"/>
        <cNvGraphicFramePr/>
      </nvGraphicFramePr>
      <xfrm/>
      <a:graphic>
        <a:graphicData uri="http://schemas.openxmlformats.org/drawingml/2006/chart">
          <c:chart r:id="rId3"/>
        </a:graphicData>
      </a:graphic>
    </graphicFrame>
    <clientData/>
  </oneCellAnchor>
  <oneCellAnchor>
    <from>
      <col>4</col>
      <colOff>0</colOff>
      <row>34</row>
      <rowOff>0</rowOff>
    </from>
    <ext cx="4896000" cy="2592000"/>
    <graphicFrame>
      <nvGraphicFramePr>
        <cNvPr id="4" name="Chart 4"/>
        <cNvGraphicFramePr/>
      </nvGraphicFramePr>
      <xfrm/>
      <a:graphic>
        <a:graphicData uri="http://schemas.openxmlformats.org/drawingml/2006/chart">
          <c:chart r:id="rId4"/>
        </a:graphicData>
      </a:graphic>
    </graphicFrame>
    <clientData/>
  </oneCellAnchor>
  <oneCellAnchor>
    <from>
      <col>0</col>
      <colOff>0</colOff>
      <row>49</row>
      <rowOff>0</rowOff>
    </from>
    <ext cx="4896000" cy="2592000"/>
    <graphicFrame>
      <nvGraphicFramePr>
        <cNvPr id="5" name="Chart 5"/>
        <cNvGraphicFramePr/>
      </nvGraphicFramePr>
      <xfrm/>
      <a:graphic>
        <a:graphicData uri="http://schemas.openxmlformats.org/drawingml/2006/chart">
          <c:chart r:id="rId5"/>
        </a:graphicData>
      </a:graphic>
    </graphicFrame>
    <clientData/>
  </oneCellAnchor>
  <oneCellAnchor>
    <from>
      <col>4</col>
      <colOff>0</colOff>
      <row>49</row>
      <rowOff>0</rowOff>
    </from>
    <ext cx="4896000" cy="2592000"/>
    <graphicFrame>
      <nvGraphicFramePr>
        <cNvPr id="6" name="Chart 6"/>
        <cNvGraphicFramePr/>
      </nvGraphicFramePr>
      <xfrm/>
      <a:graphic>
        <a:graphicData uri="http://schemas.openxmlformats.org/drawingml/2006/chart">
          <c:chart r:id="rId6"/>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eelab.com/maintenance-kpi-tracker-template" TargetMode="External" Id="rId1" /></Relationships>
</file>

<file path=xl/worksheets/_rels/sheet2.xml.rels><Relationships xmlns="http://schemas.openxmlformats.org/package/2006/relationships"><Relationship Type="http://schemas.openxmlformats.org/officeDocument/2006/relationships/hyperlink" Target="https://oeelab.com/maintenance-kpi-tracker-template" TargetMode="External" Id="rId1" /></Relationships>
</file>

<file path=xl/worksheets/_rels/sheet3.xml.rels><Relationships xmlns="http://schemas.openxmlformats.org/package/2006/relationships"><Relationship Type="http://schemas.openxmlformats.org/officeDocument/2006/relationships/hyperlink" Target="https://oeelab.com/maintenance-kpi-tracker-template" TargetMode="External" Id="rId1" /><Relationship Type="http://schemas.openxmlformats.org/officeDocument/2006/relationships/drawing" Target="/xl/drawings/drawing1.xml" Id="rId2" /></Relationships>
</file>

<file path=xl/worksheets/_rels/sheet4.xml.rels><Relationships xmlns="http://schemas.openxmlformats.org/package/2006/relationships"><Relationship Type="http://schemas.openxmlformats.org/officeDocument/2006/relationships/hyperlink" Target="https://oeelab.com/maintenance-kpi-tracker-template" TargetMode="External" Id="rId1" /><Relationship Type="http://schemas.openxmlformats.org/officeDocument/2006/relationships/hyperlink" Target="https://www.electropedia.org/iev/iev.nsf/display?openform&amp;ievref=192-05-13" TargetMode="External" Id="rId2" /><Relationship Type="http://schemas.openxmlformats.org/officeDocument/2006/relationships/hyperlink" Target="https://www.electropedia.org/iev/iev.nsf/display?openform&amp;ievref=192-07-23" TargetMode="External" Id="rId3" /><Relationship Type="http://schemas.openxmlformats.org/officeDocument/2006/relationships/hyperlink" Target="https://pemac.org/sites/default/files/2018_SMRP_BPMW_Full_Day.pdf" TargetMode="External" Id="rId4" /><Relationship Type="http://schemas.openxmlformats.org/officeDocument/2006/relationships/hyperlink" Target="https://doi.org/10.6028/NIST.AMS.100-34" TargetMode="External" Id="rId5" /><Relationship Type="http://schemas.openxmlformats.org/officeDocument/2006/relationships/hyperlink" Target="https://pemac.org/sites/default/files/2018_SMRP_BPMW_Full_Day.pdf" TargetMode="External" Id="rId6" /><Relationship Type="http://schemas.openxmlformats.org/officeDocument/2006/relationships/hyperlink" Target="https://reliabilityweb.com/en/articles/maintenance-cost" TargetMode="External" Id="rId7" /></Relationships>
</file>

<file path=xl/worksheets/_rels/sheet5.xml.rels><Relationships xmlns="http://schemas.openxmlformats.org/package/2006/relationships"><Relationship Type="http://schemas.openxmlformats.org/officeDocument/2006/relationships/hyperlink" Target="https://oeelab.com/maintenance-kpi-tracker-template" TargetMode="External" Id="rId1" /><Relationship Type="http://schemas.openxmlformats.org/officeDocument/2006/relationships/hyperlink" Target="https://oeelab.com/app/reports" TargetMode="External" Id="rId2" /><Relationship Type="http://schemas.openxmlformats.org/officeDocument/2006/relationships/hyperlink" Target="https://www.fabrico.io/demo/?utm_source=oeelab&amp;utm_medium=template&amp;utm_campaign=maintenance-kpi-tracker-template&amp;utm_content=xlsx" TargetMode="External" Id="rId3" /></Relationships>
</file>

<file path=xl/worksheets/sheet1.xml><?xml version="1.0" encoding="utf-8"?>
<worksheet xmlns="http://schemas.openxmlformats.org/spreadsheetml/2006/main">
  <sheetPr>
    <outlinePr summaryBelow="1" summaryRight="1"/>
    <pageSetUpPr fitToPage="1"/>
  </sheetPr>
  <dimension ref="A1:N19"/>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2" customWidth="1" min="2" max="2"/>
    <col width="12" customWidth="1" min="3" max="3"/>
    <col width="10" customWidth="1" min="4" max="4"/>
    <col width="11" customWidth="1" min="5" max="5"/>
    <col width="9" customWidth="1" min="6" max="6"/>
    <col width="10" customWidth="1" min="7" max="7"/>
    <col width="12" customWidth="1" min="8" max="8"/>
    <col width="12" customWidth="1" min="9" max="9"/>
    <col width="12" customWidth="1" min="10" max="10"/>
    <col width="10" customWidth="1" min="11" max="11"/>
    <col width="12" customWidth="1" min="12" max="12"/>
    <col width="14" customWidth="1" min="13" max="13"/>
    <col width="40" customWidth="1" min="14" max="14"/>
  </cols>
  <sheetData>
    <row r="1" ht="24" customHeight="1">
      <c r="A1" s="1" t="inlineStr">
        <is>
          <t>Maintenance KPI tracker: monthly input</t>
        </is>
      </c>
    </row>
    <row r="2">
      <c r="A2" s="2" t="inlineStr">
        <is>
          <t>OEE Lab, free template: https://oeelab.com/maintenance-kpi-tracker-template</t>
        </is>
      </c>
    </row>
    <row r="3" ht="32" customHeight="1">
      <c r="A3" s="3" t="str">
        <f>IF(OR($B$4="Packaging line 2 (made-up example)",AND($B$6=352,$C$6=26.5,$D$6=8,$M$6=2400000)),"EXAMPLE NUMBERS: rows 6 to 17 hold 12 made-up months of one packaging line, so you can see every sheet working. Type your own months over them, or select B6:M17 and press Delete to start empty.","Type one row a month in the yellow cells. The Check column flags numbers that cannot be right; a flagged month stays blank on the KPIs sheet and the charts until it is fixed.")</f>
        <v>EXAMPLE NUMBERS: rows 6 to 17 hold 12 made-up months of one packaging line, so you can see every sheet working. Type your own months over them, or select B6:M17 and press Delete to start empty.</v>
      </c>
    </row>
    <row r="4" ht="20" customHeight="1">
      <c r="A4" s="4" t="inlineStr">
        <is>
          <t>Scope</t>
        </is>
      </c>
      <c r="B4" s="5" t="inlineStr">
        <is>
          <t>Packaging line 2 (made-up example)</t>
        </is>
      </c>
      <c r="C4" s="6" t="n"/>
      <c r="D4" s="6" t="n"/>
      <c r="E4" s="6" t="n"/>
      <c r="F4" s="7" t="inlineStr">
        <is>
          <t>One machine, one line or one area: keep the same scope every month. Yellow cells are yours to type in; grey cells work themselves out.</t>
        </is>
      </c>
    </row>
    <row r="5" ht="46" customHeight="1">
      <c r="A5" s="8" t="inlineStr">
        <is>
          <t>Month</t>
        </is>
      </c>
      <c r="B5" s="8" t="inlineStr">
        <is>
          <t>Planned production hours</t>
        </is>
      </c>
      <c r="C5" s="8" t="inlineStr">
        <is>
          <t>Downtime from failures (h)</t>
        </is>
      </c>
      <c r="D5" s="8" t="inlineStr">
        <is>
          <t>Number of failures</t>
        </is>
      </c>
      <c r="E5" s="8" t="inlineStr">
        <is>
          <t>Hands-on repair hours</t>
        </is>
      </c>
      <c r="F5" s="8" t="inlineStr">
        <is>
          <t>PM tasks due</t>
        </is>
      </c>
      <c r="G5" s="8" t="inlineStr">
        <is>
          <t>PM tasks done on time</t>
        </is>
      </c>
      <c r="H5" s="8" t="inlineStr">
        <is>
          <t>Planned maintenance hours</t>
        </is>
      </c>
      <c r="I5" s="8" t="inlineStr">
        <is>
          <t>Total maintenance hours</t>
        </is>
      </c>
      <c r="J5" s="8" t="inlineStr">
        <is>
          <t>Backlog of ready work (h)</t>
        </is>
      </c>
      <c r="K5" s="8" t="inlineStr">
        <is>
          <t>Crew hours per week</t>
        </is>
      </c>
      <c r="L5" s="8" t="inlineStr">
        <is>
          <t>Maintenance cost</t>
        </is>
      </c>
      <c r="M5" s="8" t="inlineStr">
        <is>
          <t>Replacement asset value (RAV)</t>
        </is>
      </c>
      <c r="N5" s="8" t="inlineStr">
        <is>
          <t>Check</t>
        </is>
      </c>
    </row>
    <row r="6">
      <c r="A6" s="9" t="n">
        <v>45931</v>
      </c>
      <c r="B6" s="10" t="n">
        <v>352</v>
      </c>
      <c r="C6" s="10" t="n">
        <v>26.5</v>
      </c>
      <c r="D6" s="11" t="n">
        <v>8</v>
      </c>
      <c r="E6" s="10" t="n">
        <v>11</v>
      </c>
      <c r="F6" s="11" t="n">
        <v>42</v>
      </c>
      <c r="G6" s="11" t="n">
        <v>31</v>
      </c>
      <c r="H6" s="10" t="n">
        <v>168</v>
      </c>
      <c r="I6" s="10" t="n">
        <v>298</v>
      </c>
      <c r="J6" s="10" t="n">
        <v>262</v>
      </c>
      <c r="K6" s="10" t="n">
        <v>70</v>
      </c>
      <c r="L6" s="12" t="n">
        <v>10200</v>
      </c>
      <c r="M6" s="12" t="n">
        <v>2400000</v>
      </c>
      <c r="N6" s="13" t="str">
        <f>IF(COUNT(B6:M6)=0,"",IF(C6&gt;B6,"Failure downtime is more than the planned hours",IF(E6&gt;C6,"Hands-on repair is more than the failure downtime",IF(G6&gt;F6,"More PM tasks done than due",IF(H6&gt;I6,"Planned hours are more than the total hours",IF(COUNT(B6:M6)&lt;12,"Some cells are empty","OK"))))))</f>
        <v>OK</v>
      </c>
    </row>
    <row r="7">
      <c r="A7" s="14">
        <f>DATE(YEAR(A6),MONTH(A6)+1,1)</f>
        <v>45962.0</v>
      </c>
      <c r="B7" s="10" t="n">
        <v>336</v>
      </c>
      <c r="C7" s="10" t="n">
        <v>22</v>
      </c>
      <c r="D7" s="11" t="n">
        <v>7</v>
      </c>
      <c r="E7" s="10" t="n">
        <v>9.5</v>
      </c>
      <c r="F7" s="11" t="n">
        <v>40</v>
      </c>
      <c r="G7" s="11" t="n">
        <v>31</v>
      </c>
      <c r="H7" s="10" t="n">
        <v>174</v>
      </c>
      <c r="I7" s="10" t="n">
        <v>290</v>
      </c>
      <c r="J7" s="10" t="n">
        <v>248</v>
      </c>
      <c r="K7" s="10" t="n">
        <v>70</v>
      </c>
      <c r="L7" s="12" t="n">
        <v>9700</v>
      </c>
      <c r="M7" s="12" t="n">
        <v>2400000</v>
      </c>
      <c r="N7" s="13" t="str">
        <f>IF(COUNT(B7:M7)=0,"",IF(C7&gt;B7,"Failure downtime is more than the planned hours",IF(E7&gt;C7,"Hands-on repair is more than the failure downtime",IF(G7&gt;F7,"More PM tasks done than due",IF(H7&gt;I7,"Planned hours are more than the total hours",IF(COUNT(B7:M7)&lt;12,"Some cells are empty","OK"))))))</f>
        <v>OK</v>
      </c>
    </row>
    <row r="8">
      <c r="A8" s="14">
        <f>DATE(YEAR(A7),MONTH(A7)+1,1)</f>
        <v>45992.0</v>
      </c>
      <c r="B8" s="10" t="n">
        <v>304</v>
      </c>
      <c r="C8" s="10" t="n">
        <v>24.5</v>
      </c>
      <c r="D8" s="11" t="n">
        <v>7</v>
      </c>
      <c r="E8" s="10" t="n">
        <v>10</v>
      </c>
      <c r="F8" s="11" t="n">
        <v>36</v>
      </c>
      <c r="G8" s="11" t="n">
        <v>28</v>
      </c>
      <c r="H8" s="10" t="n">
        <v>150</v>
      </c>
      <c r="I8" s="10" t="n">
        <v>262</v>
      </c>
      <c r="J8" s="10" t="n">
        <v>255</v>
      </c>
      <c r="K8" s="10" t="n">
        <v>66</v>
      </c>
      <c r="L8" s="12" t="n">
        <v>9900</v>
      </c>
      <c r="M8" s="12" t="n">
        <v>2400000</v>
      </c>
      <c r="N8" s="13" t="str">
        <f>IF(COUNT(B8:M8)=0,"",IF(C8&gt;B8,"Failure downtime is more than the planned hours",IF(E8&gt;C8,"Hands-on repair is more than the failure downtime",IF(G8&gt;F8,"More PM tasks done than due",IF(H8&gt;I8,"Planned hours are more than the total hours",IF(COUNT(B8:M8)&lt;12,"Some cells are empty","OK"))))))</f>
        <v>OK</v>
      </c>
    </row>
    <row r="9">
      <c r="A9" s="14">
        <f>DATE(YEAR(A8),MONTH(A8)+1,1)</f>
        <v>46023.0</v>
      </c>
      <c r="B9" s="10" t="n">
        <v>344</v>
      </c>
      <c r="C9" s="10" t="n">
        <v>19</v>
      </c>
      <c r="D9" s="11" t="n">
        <v>6</v>
      </c>
      <c r="E9" s="10" t="n">
        <v>9</v>
      </c>
      <c r="F9" s="11" t="n">
        <v>42</v>
      </c>
      <c r="G9" s="11" t="n">
        <v>34</v>
      </c>
      <c r="H9" s="10" t="n">
        <v>186</v>
      </c>
      <c r="I9" s="10" t="n">
        <v>288</v>
      </c>
      <c r="J9" s="10" t="n">
        <v>236</v>
      </c>
      <c r="K9" s="10" t="n">
        <v>70</v>
      </c>
      <c r="L9" s="12" t="n">
        <v>9100</v>
      </c>
      <c r="M9" s="12" t="n">
        <v>2400000</v>
      </c>
      <c r="N9" s="13" t="str">
        <f>IF(COUNT(B9:M9)=0,"",IF(C9&gt;B9,"Failure downtime is more than the planned hours",IF(E9&gt;C9,"Hands-on repair is more than the failure downtime",IF(G9&gt;F9,"More PM tasks done than due",IF(H9&gt;I9,"Planned hours are more than the total hours",IF(COUNT(B9:M9)&lt;12,"Some cells are empty","OK"))))))</f>
        <v>OK</v>
      </c>
    </row>
    <row r="10">
      <c r="A10" s="14">
        <f>DATE(YEAR(A9),MONTH(A9)+1,1)</f>
        <v>46054.0</v>
      </c>
      <c r="B10" s="10" t="n">
        <v>320</v>
      </c>
      <c r="C10" s="10" t="n">
        <v>17.5</v>
      </c>
      <c r="D10" s="11" t="n">
        <v>6</v>
      </c>
      <c r="E10" s="10" t="n">
        <v>8.5</v>
      </c>
      <c r="F10" s="11" t="n">
        <v>40</v>
      </c>
      <c r="G10" s="11" t="n">
        <v>34</v>
      </c>
      <c r="H10" s="10" t="n">
        <v>190</v>
      </c>
      <c r="I10" s="10" t="n">
        <v>280</v>
      </c>
      <c r="J10" s="10" t="n">
        <v>218</v>
      </c>
      <c r="K10" s="10" t="n">
        <v>70</v>
      </c>
      <c r="L10" s="12" t="n">
        <v>8800</v>
      </c>
      <c r="M10" s="12" t="n">
        <v>2400000</v>
      </c>
      <c r="N10" s="13" t="str">
        <f>IF(COUNT(B10:M10)=0,"",IF(C10&gt;B10,"Failure downtime is more than the planned hours",IF(E10&gt;C10,"Hands-on repair is more than the failure downtime",IF(G10&gt;F10,"More PM tasks done than due",IF(H10&gt;I10,"Planned hours are more than the total hours",IF(COUNT(B10:M10)&lt;12,"Some cells are empty","OK"))))))</f>
        <v>OK</v>
      </c>
    </row>
    <row r="11">
      <c r="A11" s="14">
        <f>DATE(YEAR(A10),MONTH(A10)+1,1)</f>
        <v>46082.0</v>
      </c>
      <c r="B11" s="10" t="n">
        <v>352</v>
      </c>
      <c r="C11" s="10" t="n">
        <v>15</v>
      </c>
      <c r="D11" s="11" t="n">
        <v>5</v>
      </c>
      <c r="E11" s="10" t="n">
        <v>7.5</v>
      </c>
      <c r="F11" s="11" t="n">
        <v>44</v>
      </c>
      <c r="G11" s="11" t="n">
        <v>39</v>
      </c>
      <c r="H11" s="10" t="n">
        <v>214</v>
      </c>
      <c r="I11" s="10" t="n">
        <v>296</v>
      </c>
      <c r="J11" s="10" t="n">
        <v>204</v>
      </c>
      <c r="K11" s="10" t="n">
        <v>70</v>
      </c>
      <c r="L11" s="12" t="n">
        <v>8300</v>
      </c>
      <c r="M11" s="12" t="n">
        <v>2400000</v>
      </c>
      <c r="N11" s="13" t="str">
        <f>IF(COUNT(B11:M11)=0,"",IF(C11&gt;B11,"Failure downtime is more than the planned hours",IF(E11&gt;C11,"Hands-on repair is more than the failure downtime",IF(G11&gt;F11,"More PM tasks done than due",IF(H11&gt;I11,"Planned hours are more than the total hours",IF(COUNT(B11:M11)&lt;12,"Some cells are empty","OK"))))))</f>
        <v>OK</v>
      </c>
    </row>
    <row r="12">
      <c r="A12" s="14">
        <f>DATE(YEAR(A11),MONTH(A11)+1,1)</f>
        <v>46113.0</v>
      </c>
      <c r="B12" s="10" t="n">
        <v>336</v>
      </c>
      <c r="C12" s="10" t="n">
        <v>16.5</v>
      </c>
      <c r="D12" s="11" t="n">
        <v>5</v>
      </c>
      <c r="E12" s="10" t="n">
        <v>7</v>
      </c>
      <c r="F12" s="11" t="n">
        <v>42</v>
      </c>
      <c r="G12" s="11" t="n">
        <v>37</v>
      </c>
      <c r="H12" s="10" t="n">
        <v>205</v>
      </c>
      <c r="I12" s="10" t="n">
        <v>285</v>
      </c>
      <c r="J12" s="10" t="n">
        <v>198</v>
      </c>
      <c r="K12" s="10" t="n">
        <v>70</v>
      </c>
      <c r="L12" s="12" t="n">
        <v>8100</v>
      </c>
      <c r="M12" s="12" t="n">
        <v>2520000</v>
      </c>
      <c r="N12" s="13" t="str">
        <f>IF(COUNT(B12:M12)=0,"",IF(C12&gt;B12,"Failure downtime is more than the planned hours",IF(E12&gt;C12,"Hands-on repair is more than the failure downtime",IF(G12&gt;F12,"More PM tasks done than due",IF(H12&gt;I12,"Planned hours are more than the total hours",IF(COUNT(B12:M12)&lt;12,"Some cells are empty","OK"))))))</f>
        <v>OK</v>
      </c>
    </row>
    <row r="13">
      <c r="A13" s="14">
        <f>DATE(YEAR(A12),MONTH(A12)+1,1)</f>
        <v>46143.0</v>
      </c>
      <c r="B13" s="10" t="n">
        <v>344</v>
      </c>
      <c r="C13" s="10" t="n">
        <v>12.5</v>
      </c>
      <c r="D13" s="11" t="n">
        <v>4</v>
      </c>
      <c r="E13" s="10" t="n">
        <v>6</v>
      </c>
      <c r="F13" s="11" t="n">
        <v>44</v>
      </c>
      <c r="G13" s="11" t="n">
        <v>40</v>
      </c>
      <c r="H13" s="10" t="n">
        <v>224</v>
      </c>
      <c r="I13" s="10" t="n">
        <v>290</v>
      </c>
      <c r="J13" s="10" t="n">
        <v>186</v>
      </c>
      <c r="K13" s="10" t="n">
        <v>70</v>
      </c>
      <c r="L13" s="12" t="n">
        <v>7600</v>
      </c>
      <c r="M13" s="12" t="n">
        <v>2520000</v>
      </c>
      <c r="N13" s="13" t="str">
        <f>IF(COUNT(B13:M13)=0,"",IF(C13&gt;B13,"Failure downtime is more than the planned hours",IF(E13&gt;C13,"Hands-on repair is more than the failure downtime",IF(G13&gt;F13,"More PM tasks done than due",IF(H13&gt;I13,"Planned hours are more than the total hours",IF(COUNT(B13:M13)&lt;12,"Some cells are empty","OK"))))))</f>
        <v>OK</v>
      </c>
    </row>
    <row r="14">
      <c r="A14" s="14">
        <f>DATE(YEAR(A13),MONTH(A13)+1,1)</f>
        <v>46174.0</v>
      </c>
      <c r="B14" s="10" t="n">
        <v>352</v>
      </c>
      <c r="C14" s="10" t="n">
        <v>14</v>
      </c>
      <c r="D14" s="11" t="n">
        <v>5</v>
      </c>
      <c r="E14" s="10" t="n">
        <v>6.5</v>
      </c>
      <c r="F14" s="11" t="n">
        <v>44</v>
      </c>
      <c r="G14" s="11" t="n">
        <v>41</v>
      </c>
      <c r="H14" s="10" t="n">
        <v>226</v>
      </c>
      <c r="I14" s="10" t="n">
        <v>292</v>
      </c>
      <c r="J14" s="10" t="n">
        <v>180</v>
      </c>
      <c r="K14" s="10" t="n">
        <v>70</v>
      </c>
      <c r="L14" s="12" t="n">
        <v>7800</v>
      </c>
      <c r="M14" s="12" t="n">
        <v>2520000</v>
      </c>
      <c r="N14" s="13" t="str">
        <f>IF(COUNT(B14:M14)=0,"",IF(C14&gt;B14,"Failure downtime is more than the planned hours",IF(E14&gt;C14,"Hands-on repair is more than the failure downtime",IF(G14&gt;F14,"More PM tasks done than due",IF(H14&gt;I14,"Planned hours are more than the total hours",IF(COUNT(B14:M14)&lt;12,"Some cells are empty","OK"))))))</f>
        <v>OK</v>
      </c>
    </row>
    <row r="15">
      <c r="A15" s="14">
        <f>DATE(YEAR(A14),MONTH(A14)+1,1)</f>
        <v>46204.0</v>
      </c>
      <c r="B15" s="10" t="n">
        <v>312</v>
      </c>
      <c r="C15" s="10" t="n">
        <v>18.5</v>
      </c>
      <c r="D15" s="11" t="n">
        <v>5</v>
      </c>
      <c r="E15" s="10" t="n">
        <v>7</v>
      </c>
      <c r="F15" s="11" t="n">
        <v>40</v>
      </c>
      <c r="G15" s="11" t="n">
        <v>33</v>
      </c>
      <c r="H15" s="10" t="n">
        <v>182</v>
      </c>
      <c r="I15" s="10" t="n">
        <v>268</v>
      </c>
      <c r="J15" s="10" t="n">
        <v>214</v>
      </c>
      <c r="K15" s="10" t="n">
        <v>60</v>
      </c>
      <c r="L15" s="12" t="n">
        <v>8600</v>
      </c>
      <c r="M15" s="12" t="n">
        <v>2520000</v>
      </c>
      <c r="N15" s="13" t="str">
        <f>IF(COUNT(B15:M15)=0,"",IF(C15&gt;B15,"Failure downtime is more than the planned hours",IF(E15&gt;C15,"Hands-on repair is more than the failure downtime",IF(G15&gt;F15,"More PM tasks done than due",IF(H15&gt;I15,"Planned hours are more than the total hours",IF(COUNT(B15:M15)&lt;12,"Some cells are empty","OK"))))))</f>
        <v>OK</v>
      </c>
    </row>
    <row r="16">
      <c r="A16" s="14">
        <f>DATE(YEAR(A15),MONTH(A15)+1,1)</f>
        <v>46235.0</v>
      </c>
      <c r="B16" s="10" t="n">
        <v>328</v>
      </c>
      <c r="C16" s="10" t="n">
        <v>11</v>
      </c>
      <c r="D16" s="11" t="n">
        <v>4</v>
      </c>
      <c r="E16" s="10" t="n">
        <v>5.5</v>
      </c>
      <c r="F16" s="11" t="n">
        <v>42</v>
      </c>
      <c r="G16" s="11" t="n">
        <v>40</v>
      </c>
      <c r="H16" s="10" t="n">
        <v>222</v>
      </c>
      <c r="I16" s="10" t="n">
        <v>280</v>
      </c>
      <c r="J16" s="10" t="n">
        <v>176</v>
      </c>
      <c r="K16" s="10" t="n">
        <v>70</v>
      </c>
      <c r="L16" s="12" t="n">
        <v>7100</v>
      </c>
      <c r="M16" s="12" t="n">
        <v>2520000</v>
      </c>
      <c r="N16" s="13" t="str">
        <f>IF(COUNT(B16:M16)=0,"",IF(C16&gt;B16,"Failure downtime is more than the planned hours",IF(E16&gt;C16,"Hands-on repair is more than the failure downtime",IF(G16&gt;F16,"More PM tasks done than due",IF(H16&gt;I16,"Planned hours are more than the total hours",IF(COUNT(B16:M16)&lt;12,"Some cells are empty","OK"))))))</f>
        <v>OK</v>
      </c>
    </row>
    <row r="17">
      <c r="A17" s="14">
        <f>DATE(YEAR(A16),MONTH(A16)+1,1)</f>
        <v>46266.0</v>
      </c>
      <c r="B17" s="10" t="n">
        <v>352</v>
      </c>
      <c r="C17" s="10" t="n">
        <v>10.5</v>
      </c>
      <c r="D17" s="11" t="n">
        <v>3</v>
      </c>
      <c r="E17" s="10" t="n">
        <v>5</v>
      </c>
      <c r="F17" s="11" t="n">
        <v>46</v>
      </c>
      <c r="G17" s="11" t="n">
        <v>44</v>
      </c>
      <c r="H17" s="10" t="n">
        <v>238</v>
      </c>
      <c r="I17" s="10" t="n">
        <v>292</v>
      </c>
      <c r="J17" s="10" t="n">
        <v>168</v>
      </c>
      <c r="K17" s="10" t="n">
        <v>70</v>
      </c>
      <c r="L17" s="12" t="n">
        <v>6900</v>
      </c>
      <c r="M17" s="12" t="n">
        <v>2520000</v>
      </c>
      <c r="N17" s="13" t="str">
        <f>IF(COUNT(B17:M17)=0,"",IF(C17&gt;B17,"Failure downtime is more than the planned hours",IF(E17&gt;C17,"Hands-on repair is more than the failure downtime",IF(G17&gt;F17,"More PM tasks done than due",IF(H17&gt;I17,"Planned hours are more than the total hours",IF(COUNT(B17:M17)&lt;12,"Some cells are empty","OK"))))))</f>
        <v>OK</v>
      </c>
    </row>
    <row r="19">
      <c r="A19" s="7" t="inlineStr">
        <is>
          <t>What to count in each column, and every formula, is on the Definitions sheet. Type the first month in A6; the other 11 months follow. The Check column flags numbers that cannot be right.</t>
        </is>
      </c>
    </row>
  </sheetData>
  <mergeCells count="2">
    <mergeCell ref="A3:N3"/>
    <mergeCell ref="B4:E4"/>
  </mergeCells>
  <conditionalFormatting sqref="A3:N3">
    <cfRule type="expression" priority="1" dxfId="0">
      <formula>LEFT($A$3,7)&lt;&gt;"EXAMPLE"</formula>
    </cfRule>
  </conditionalFormatting>
  <conditionalFormatting sqref="N6:N17">
    <cfRule type="expression" priority="2" dxfId="1">
      <formula>N6="OK"</formula>
    </cfRule>
    <cfRule type="expression" priority="3" dxfId="2">
      <formula>AND(N6&lt;&gt;"",N6&lt;&gt;"OK")</formula>
    </cfRule>
  </conditionalFormatting>
  <dataValidations count="2">
    <dataValidation sqref="B6:B17 C6:C17 E6:E17 H6:H17 I6:I17 J6:J17 K6:K17 L6:L17 M6:M17" showDropDown="0" showInputMessage="0" showErrorMessage="1" allowBlank="1" errorTitle="Number" error="Type a number of 0 or more." type="decimal" operator="greaterThanOrEqual">
      <formula1>0</formula1>
    </dataValidation>
    <dataValidation sqref="D6:D17 F6:F17 G6:G17" showDropDown="0" showInputMessage="0" showErrorMessage="1" allowBlank="1" errorTitle="Whole number" error="Type a whole number of 0 or more." type="whole" operator="greaterThanOrEqual">
      <formula1>0</formula1>
    </dataValidation>
  </dataValidations>
  <hyperlinks>
    <hyperlink xmlns:r="http://schemas.openxmlformats.org/officeDocument/2006/relationships" ref="A2" r:id="rId1"/>
  </hyperlinks>
  <pageMargins left="0.4" right="0.4" top="0.5" bottom="0.5" header="0.5" footer="0.5"/>
  <pageSetup orientation="landscape" paperSize="1" fitToHeight="0" fitToWidth="1"/>
</worksheet>
</file>

<file path=xl/worksheets/sheet2.xml><?xml version="1.0" encoding="utf-8"?>
<worksheet xmlns="http://schemas.openxmlformats.org/spreadsheetml/2006/main">
  <sheetPr>
    <outlinePr summaryBelow="1" summaryRight="1"/>
    <pageSetUpPr fitToPage="1"/>
  </sheetPr>
  <dimension ref="A1:W20"/>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3" customWidth="1" min="4" max="4"/>
    <col width="13" customWidth="1" min="5" max="5"/>
    <col width="12" customWidth="1" min="6" max="6"/>
    <col width="13" customWidth="1" min="7" max="7"/>
    <col width="12" customWidth="1" min="8" max="8"/>
    <col width="12" customWidth="1" min="9" max="9"/>
    <col width="12" customWidth="1" min="10" max="10"/>
    <col width="15" customWidth="1" min="11" max="11"/>
    <col hidden="1" width="13" customWidth="1" min="12" max="12"/>
    <col hidden="1" width="13" customWidth="1" min="13" max="13"/>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s>
  <sheetData>
    <row r="1" ht="24" customHeight="1">
      <c r="A1" s="1" t="inlineStr">
        <is>
          <t>Maintenance KPIs by month</t>
        </is>
      </c>
    </row>
    <row r="2">
      <c r="A2" s="2" t="inlineStr">
        <is>
          <t>OEE Lab, free template: https://oeelab.com/maintenance-kpi-tracker-template</t>
        </is>
      </c>
    </row>
    <row r="3">
      <c r="A3" s="7" t="inlineStr">
        <is>
          <t>Every cell on this sheet is a formula that reads the Monthly input sheet. The All months row divides the totals once; it never averages the monthly percentages.</t>
        </is>
      </c>
    </row>
    <row r="5" ht="48" customHeight="1">
      <c r="A5" s="8" t="inlineStr">
        <is>
          <t>Month</t>
        </is>
      </c>
      <c r="B5" s="8" t="inlineStr">
        <is>
          <t>Operating hours</t>
        </is>
      </c>
      <c r="C5" s="8" t="inlineStr">
        <is>
          <t>MTBF (h)</t>
        </is>
      </c>
      <c r="D5" s="8" t="inlineStr">
        <is>
          <t>MTTR, time to restore (h)</t>
        </is>
      </c>
      <c r="E5" s="8" t="inlineStr">
        <is>
          <t>Hands-on repair per failure (h)</t>
        </is>
      </c>
      <c r="F5" s="8" t="inlineStr">
        <is>
          <t>Waiting share of each stop</t>
        </is>
      </c>
      <c r="G5" s="8" t="inlineStr">
        <is>
          <t>Availability from failures</t>
        </is>
      </c>
      <c r="H5" s="8" t="inlineStr">
        <is>
          <t>PM compliance</t>
        </is>
      </c>
      <c r="I5" s="8" t="inlineStr">
        <is>
          <t>Planned maintenance</t>
        </is>
      </c>
      <c r="J5" s="8" t="inlineStr">
        <is>
          <t>Backlog (crew weeks)</t>
        </is>
      </c>
      <c r="K5" s="8" t="inlineStr">
        <is>
          <t>Maintenance cost as % of RAV, a year</t>
        </is>
      </c>
      <c r="L5" t="inlineStr">
        <is>
          <t>Row</t>
        </is>
      </c>
      <c r="M5" t="inlineStr">
        <is>
          <t>Counted (1 = the Check column passes)</t>
        </is>
      </c>
      <c r="N5" t="inlineStr">
        <is>
          <t>MTBF</t>
        </is>
      </c>
      <c r="O5" t="inlineStr">
        <is>
          <t>MTTR, time to restore</t>
        </is>
      </c>
      <c r="P5" t="inlineStr">
        <is>
          <t>Hands-on repair</t>
        </is>
      </c>
      <c r="Q5" t="inlineStr">
        <is>
          <t>Availability from failures</t>
        </is>
      </c>
      <c r="R5" t="inlineStr">
        <is>
          <t>PM compliance</t>
        </is>
      </c>
      <c r="S5" t="inlineStr">
        <is>
          <t>Planned maintenance</t>
        </is>
      </c>
      <c r="T5" t="inlineStr">
        <is>
          <t>Backlog (crew weeks)</t>
        </is>
      </c>
      <c r="U5" t="inlineStr">
        <is>
          <t>Cost as % of RAV, a year</t>
        </is>
      </c>
      <c r="V5" t="inlineStr">
        <is>
          <t>SMRP: top performers under 3%</t>
        </is>
      </c>
      <c r="W5" t="inlineStr">
        <is>
          <t>Failures</t>
        </is>
      </c>
    </row>
    <row r="6">
      <c r="A6" s="14">
        <f>IF(ISNUMBER('Monthly input'!A6),'Monthly input'!A6,"")</f>
        <v>45931.0</v>
      </c>
      <c r="B6" s="15">
        <f>IF($M6=1,IF(AND(ISNUMBER('Monthly input'!B6),ISNUMBER('Monthly input'!C6)),'Monthly input'!B6-'Monthly input'!C6,""),"")</f>
        <v>325.5</v>
      </c>
      <c r="C6" s="16">
        <f>IF($M6=1,IF(AND(ISNUMBER(B6),ISNUMBER('Monthly input'!D6)),IF('Monthly input'!D6&gt;0,B6/'Monthly input'!D6,"No failures"),""),"")</f>
        <v>40.6875</v>
      </c>
      <c r="D6" s="16">
        <f>IF($M6=1,IF(AND(ISNUMBER('Monthly input'!C6),ISNUMBER('Monthly input'!D6)),IF('Monthly input'!D6&gt;0,'Monthly input'!C6/'Monthly input'!D6,""),""),"")</f>
        <v>3.3125</v>
      </c>
      <c r="E6" s="16">
        <f>IF($M6=1,IF(AND(ISNUMBER('Monthly input'!E6),ISNUMBER('Monthly input'!D6)),IF('Monthly input'!D6&gt;0,'Monthly input'!E6/'Monthly input'!D6,""),""),"")</f>
        <v>1.375</v>
      </c>
      <c r="F6" s="17">
        <f>IF($M6=1,IF(AND(ISNUMBER('Monthly input'!E6),ISNUMBER('Monthly input'!C6)),IF('Monthly input'!C6&gt;0,1-'Monthly input'!E6/'Monthly input'!C6,""),""),"")</f>
        <v>0.584905660377359</v>
      </c>
      <c r="G6" s="18">
        <f>IF($M6=1,IF(ISNUMBER(B6),IF('Monthly input'!B6&gt;0,B6/'Monthly input'!B6,""),""),"")</f>
        <v>0.924715909090909</v>
      </c>
      <c r="H6" s="18">
        <f>IF($M6=1,IF(AND(ISNUMBER('Monthly input'!G6),ISNUMBER('Monthly input'!F6)),IF('Monthly input'!F6&gt;0,'Monthly input'!G6/'Monthly input'!F6,""),""),"")</f>
        <v>0.738095238095238</v>
      </c>
      <c r="I6" s="18">
        <f>IF($M6=1,IF(AND(ISNUMBER('Monthly input'!H6),ISNUMBER('Monthly input'!I6)),IF('Monthly input'!I6&gt;0,'Monthly input'!H6/'Monthly input'!I6,""),""),"")</f>
        <v>0.563758389261745</v>
      </c>
      <c r="J6" s="16">
        <f>IF($M6=1,IF(AND(ISNUMBER('Monthly input'!J6),ISNUMBER('Monthly input'!K6)),IF('Monthly input'!K6&gt;0,'Monthly input'!J6/'Monthly input'!K6,""),""),"")</f>
        <v>3.74285714285714</v>
      </c>
      <c r="K6" s="19">
        <f>IF($M6=1,IF(AND(ISNUMBER('Monthly input'!L6),ISNUMBER('Monthly input'!M6)),IF('Monthly input'!M6&gt;0,'Monthly input'!L6*12/'Monthly input'!M6,""),""),"")</f>
        <v>0.051</v>
      </c>
      <c r="L6">
        <f>IF(ISNUMBER('Monthly input'!B6),ROW(),"")</f>
        <v>6.0</v>
      </c>
      <c r="M6">
        <f>IF(OR('Monthly input'!N6="OK",'Monthly input'!N6="Some cells are empty",'Monthly input'!N6=""),1,0)</f>
        <v>1.0</v>
      </c>
      <c r="N6" s="20">
        <f>IF(ISNUMBER(C6),C6,NA())</f>
        <v>40.6875</v>
      </c>
      <c r="O6" s="20">
        <f>IF(ISNUMBER(D6),D6,NA())</f>
        <v>3.3125</v>
      </c>
      <c r="P6" s="20">
        <f>IF(ISNUMBER(E6),E6,NA())</f>
        <v>1.375</v>
      </c>
      <c r="Q6" s="21">
        <f>IF(ISNUMBER(G6),G6,NA())</f>
        <v>0.924715909090909</v>
      </c>
      <c r="R6" s="21">
        <f>IF(ISNUMBER(H6),H6,NA())</f>
        <v>0.738095238095238</v>
      </c>
      <c r="S6" s="21">
        <f>IF(ISNUMBER(I6),I6,NA())</f>
        <v>0.563758389261745</v>
      </c>
      <c r="T6" s="20">
        <f>IF(ISNUMBER(J6),J6,NA())</f>
        <v>3.74285714285714</v>
      </c>
      <c r="U6" s="22">
        <f>IF(ISNUMBER(K6),K6,NA())</f>
        <v>0.051</v>
      </c>
      <c r="V6" s="22" t="n">
        <v>0.03</v>
      </c>
      <c r="W6">
        <f>IF(ISNUMBER('Monthly input'!D6),'Monthly input'!D6,NA())</f>
        <v>8.0</v>
      </c>
    </row>
    <row r="7">
      <c r="A7" s="14">
        <f>IF(ISNUMBER('Monthly input'!A7),'Monthly input'!A7,"")</f>
        <v>45962.0</v>
      </c>
      <c r="B7" s="15">
        <f>IF($M7=1,IF(AND(ISNUMBER('Monthly input'!B7),ISNUMBER('Monthly input'!C7)),'Monthly input'!B7-'Monthly input'!C7,""),"")</f>
        <v>314.0</v>
      </c>
      <c r="C7" s="16">
        <f>IF($M7=1,IF(AND(ISNUMBER(B7),ISNUMBER('Monthly input'!D7)),IF('Monthly input'!D7&gt;0,B7/'Monthly input'!D7,"No failures"),""),"")</f>
        <v>44.8571428571429</v>
      </c>
      <c r="D7" s="16">
        <f>IF($M7=1,IF(AND(ISNUMBER('Monthly input'!C7),ISNUMBER('Monthly input'!D7)),IF('Monthly input'!D7&gt;0,'Monthly input'!C7/'Monthly input'!D7,""),""),"")</f>
        <v>3.14285714285714</v>
      </c>
      <c r="E7" s="16">
        <f>IF($M7=1,IF(AND(ISNUMBER('Monthly input'!E7),ISNUMBER('Monthly input'!D7)),IF('Monthly input'!D7&gt;0,'Monthly input'!E7/'Monthly input'!D7,""),""),"")</f>
        <v>1.35714285714286</v>
      </c>
      <c r="F7" s="17">
        <f>IF($M7=1,IF(AND(ISNUMBER('Monthly input'!E7),ISNUMBER('Monthly input'!C7)),IF('Monthly input'!C7&gt;0,1-'Monthly input'!E7/'Monthly input'!C7,""),""),"")</f>
        <v>0.568181818181818</v>
      </c>
      <c r="G7" s="18">
        <f>IF($M7=1,IF(ISNUMBER(B7),IF('Monthly input'!B7&gt;0,B7/'Monthly input'!B7,""),""),"")</f>
        <v>0.93452380952381</v>
      </c>
      <c r="H7" s="18">
        <f>IF($M7=1,IF(AND(ISNUMBER('Monthly input'!G7),ISNUMBER('Monthly input'!F7)),IF('Monthly input'!F7&gt;0,'Monthly input'!G7/'Monthly input'!F7,""),""),"")</f>
        <v>0.775</v>
      </c>
      <c r="I7" s="18">
        <f>IF($M7=1,IF(AND(ISNUMBER('Monthly input'!H7),ISNUMBER('Monthly input'!I7)),IF('Monthly input'!I7&gt;0,'Monthly input'!H7/'Monthly input'!I7,""),""),"")</f>
        <v>0.6</v>
      </c>
      <c r="J7" s="16">
        <f>IF($M7=1,IF(AND(ISNUMBER('Monthly input'!J7),ISNUMBER('Monthly input'!K7)),IF('Monthly input'!K7&gt;0,'Monthly input'!J7/'Monthly input'!K7,""),""),"")</f>
        <v>3.54285714285714</v>
      </c>
      <c r="K7" s="19">
        <f>IF($M7=1,IF(AND(ISNUMBER('Monthly input'!L7),ISNUMBER('Monthly input'!M7)),IF('Monthly input'!M7&gt;0,'Monthly input'!L7*12/'Monthly input'!M7,""),""),"")</f>
        <v>0.0485</v>
      </c>
      <c r="L7">
        <f>IF(ISNUMBER('Monthly input'!B7),ROW(),"")</f>
        <v>7.0</v>
      </c>
      <c r="M7">
        <f>IF(OR('Monthly input'!N7="OK",'Monthly input'!N7="Some cells are empty",'Monthly input'!N7=""),1,0)</f>
        <v>1.0</v>
      </c>
      <c r="N7" s="20">
        <f>IF(ISNUMBER(C7),C7,NA())</f>
        <v>44.8571428571429</v>
      </c>
      <c r="O7" s="20">
        <f>IF(ISNUMBER(D7),D7,NA())</f>
        <v>3.14285714285714</v>
      </c>
      <c r="P7" s="20">
        <f>IF(ISNUMBER(E7),E7,NA())</f>
        <v>1.35714285714286</v>
      </c>
      <c r="Q7" s="21">
        <f>IF(ISNUMBER(G7),G7,NA())</f>
        <v>0.93452380952381</v>
      </c>
      <c r="R7" s="21">
        <f>IF(ISNUMBER(H7),H7,NA())</f>
        <v>0.775</v>
      </c>
      <c r="S7" s="21">
        <f>IF(ISNUMBER(I7),I7,NA())</f>
        <v>0.6</v>
      </c>
      <c r="T7" s="20">
        <f>IF(ISNUMBER(J7),J7,NA())</f>
        <v>3.54285714285714</v>
      </c>
      <c r="U7" s="22">
        <f>IF(ISNUMBER(K7),K7,NA())</f>
        <v>0.0485</v>
      </c>
      <c r="V7" s="22" t="n">
        <v>0.03</v>
      </c>
      <c r="W7">
        <f>IF(ISNUMBER('Monthly input'!D7),'Monthly input'!D7,NA())</f>
        <v>7.0</v>
      </c>
    </row>
    <row r="8">
      <c r="A8" s="14">
        <f>IF(ISNUMBER('Monthly input'!A8),'Monthly input'!A8,"")</f>
        <v>45992.0</v>
      </c>
      <c r="B8" s="15">
        <f>IF($M8=1,IF(AND(ISNUMBER('Monthly input'!B8),ISNUMBER('Monthly input'!C8)),'Monthly input'!B8-'Monthly input'!C8,""),"")</f>
        <v>279.5</v>
      </c>
      <c r="C8" s="16">
        <f>IF($M8=1,IF(AND(ISNUMBER(B8),ISNUMBER('Monthly input'!D8)),IF('Monthly input'!D8&gt;0,B8/'Monthly input'!D8,"No failures"),""),"")</f>
        <v>39.9285714285714</v>
      </c>
      <c r="D8" s="16">
        <f>IF($M8=1,IF(AND(ISNUMBER('Monthly input'!C8),ISNUMBER('Monthly input'!D8)),IF('Monthly input'!D8&gt;0,'Monthly input'!C8/'Monthly input'!D8,""),""),"")</f>
        <v>3.5</v>
      </c>
      <c r="E8" s="16">
        <f>IF($M8=1,IF(AND(ISNUMBER('Monthly input'!E8),ISNUMBER('Monthly input'!D8)),IF('Monthly input'!D8&gt;0,'Monthly input'!E8/'Monthly input'!D8,""),""),"")</f>
        <v>1.42857142857143</v>
      </c>
      <c r="F8" s="17">
        <f>IF($M8=1,IF(AND(ISNUMBER('Monthly input'!E8),ISNUMBER('Monthly input'!C8)),IF('Monthly input'!C8&gt;0,1-'Monthly input'!E8/'Monthly input'!C8,""),""),"")</f>
        <v>0.591836734693878</v>
      </c>
      <c r="G8" s="18">
        <f>IF($M8=1,IF(ISNUMBER(B8),IF('Monthly input'!B8&gt;0,B8/'Monthly input'!B8,""),""),"")</f>
        <v>0.919407894736842</v>
      </c>
      <c r="H8" s="18">
        <f>IF($M8=1,IF(AND(ISNUMBER('Monthly input'!G8),ISNUMBER('Monthly input'!F8)),IF('Monthly input'!F8&gt;0,'Monthly input'!G8/'Monthly input'!F8,""),""),"")</f>
        <v>0.777777777777778</v>
      </c>
      <c r="I8" s="18">
        <f>IF($M8=1,IF(AND(ISNUMBER('Monthly input'!H8),ISNUMBER('Monthly input'!I8)),IF('Monthly input'!I8&gt;0,'Monthly input'!H8/'Monthly input'!I8,""),""),"")</f>
        <v>0.572519083969466</v>
      </c>
      <c r="J8" s="16">
        <f>IF($M8=1,IF(AND(ISNUMBER('Monthly input'!J8),ISNUMBER('Monthly input'!K8)),IF('Monthly input'!K8&gt;0,'Monthly input'!J8/'Monthly input'!K8,""),""),"")</f>
        <v>3.86363636363636</v>
      </c>
      <c r="K8" s="19">
        <f>IF($M8=1,IF(AND(ISNUMBER('Monthly input'!L8),ISNUMBER('Monthly input'!M8)),IF('Monthly input'!M8&gt;0,'Monthly input'!L8*12/'Monthly input'!M8,""),""),"")</f>
        <v>0.0495</v>
      </c>
      <c r="L8">
        <f>IF(ISNUMBER('Monthly input'!B8),ROW(),"")</f>
        <v>8.0</v>
      </c>
      <c r="M8">
        <f>IF(OR('Monthly input'!N8="OK",'Monthly input'!N8="Some cells are empty",'Monthly input'!N8=""),1,0)</f>
        <v>1.0</v>
      </c>
      <c r="N8" s="20">
        <f>IF(ISNUMBER(C8),C8,NA())</f>
        <v>39.9285714285714</v>
      </c>
      <c r="O8" s="20">
        <f>IF(ISNUMBER(D8),D8,NA())</f>
        <v>3.5</v>
      </c>
      <c r="P8" s="20">
        <f>IF(ISNUMBER(E8),E8,NA())</f>
        <v>1.42857142857143</v>
      </c>
      <c r="Q8" s="21">
        <f>IF(ISNUMBER(G8),G8,NA())</f>
        <v>0.919407894736842</v>
      </c>
      <c r="R8" s="21">
        <f>IF(ISNUMBER(H8),H8,NA())</f>
        <v>0.777777777777778</v>
      </c>
      <c r="S8" s="21">
        <f>IF(ISNUMBER(I8),I8,NA())</f>
        <v>0.572519083969466</v>
      </c>
      <c r="T8" s="20">
        <f>IF(ISNUMBER(J8),J8,NA())</f>
        <v>3.86363636363636</v>
      </c>
      <c r="U8" s="22">
        <f>IF(ISNUMBER(K8),K8,NA())</f>
        <v>0.0495</v>
      </c>
      <c r="V8" s="22" t="n">
        <v>0.03</v>
      </c>
      <c r="W8">
        <f>IF(ISNUMBER('Monthly input'!D8),'Monthly input'!D8,NA())</f>
        <v>7.0</v>
      </c>
    </row>
    <row r="9">
      <c r="A9" s="14">
        <f>IF(ISNUMBER('Monthly input'!A9),'Monthly input'!A9,"")</f>
        <v>46023.0</v>
      </c>
      <c r="B9" s="15">
        <f>IF($M9=1,IF(AND(ISNUMBER('Monthly input'!B9),ISNUMBER('Monthly input'!C9)),'Monthly input'!B9-'Monthly input'!C9,""),"")</f>
        <v>325.0</v>
      </c>
      <c r="C9" s="16">
        <f>IF($M9=1,IF(AND(ISNUMBER(B9),ISNUMBER('Monthly input'!D9)),IF('Monthly input'!D9&gt;0,B9/'Monthly input'!D9,"No failures"),""),"")</f>
        <v>54.1666666666667</v>
      </c>
      <c r="D9" s="16">
        <f>IF($M9=1,IF(AND(ISNUMBER('Monthly input'!C9),ISNUMBER('Monthly input'!D9)),IF('Monthly input'!D9&gt;0,'Monthly input'!C9/'Monthly input'!D9,""),""),"")</f>
        <v>3.16666666666667</v>
      </c>
      <c r="E9" s="16">
        <f>IF($M9=1,IF(AND(ISNUMBER('Monthly input'!E9),ISNUMBER('Monthly input'!D9)),IF('Monthly input'!D9&gt;0,'Monthly input'!E9/'Monthly input'!D9,""),""),"")</f>
        <v>1.5</v>
      </c>
      <c r="F9" s="17">
        <f>IF($M9=1,IF(AND(ISNUMBER('Monthly input'!E9),ISNUMBER('Monthly input'!C9)),IF('Monthly input'!C9&gt;0,1-'Monthly input'!E9/'Monthly input'!C9,""),""),"")</f>
        <v>0.526315789473684</v>
      </c>
      <c r="G9" s="18">
        <f>IF($M9=1,IF(ISNUMBER(B9),IF('Monthly input'!B9&gt;0,B9/'Monthly input'!B9,""),""),"")</f>
        <v>0.944767441860465</v>
      </c>
      <c r="H9" s="18">
        <f>IF($M9=1,IF(AND(ISNUMBER('Monthly input'!G9),ISNUMBER('Monthly input'!F9)),IF('Monthly input'!F9&gt;0,'Monthly input'!G9/'Monthly input'!F9,""),""),"")</f>
        <v>0.80952380952381</v>
      </c>
      <c r="I9" s="18">
        <f>IF($M9=1,IF(AND(ISNUMBER('Monthly input'!H9),ISNUMBER('Monthly input'!I9)),IF('Monthly input'!I9&gt;0,'Monthly input'!H9/'Monthly input'!I9,""),""),"")</f>
        <v>0.645833333333333</v>
      </c>
      <c r="J9" s="16">
        <f>IF($M9=1,IF(AND(ISNUMBER('Monthly input'!J9),ISNUMBER('Monthly input'!K9)),IF('Monthly input'!K9&gt;0,'Monthly input'!J9/'Monthly input'!K9,""),""),"")</f>
        <v>3.37142857142857</v>
      </c>
      <c r="K9" s="19">
        <f>IF($M9=1,IF(AND(ISNUMBER('Monthly input'!L9),ISNUMBER('Monthly input'!M9)),IF('Monthly input'!M9&gt;0,'Monthly input'!L9*12/'Monthly input'!M9,""),""),"")</f>
        <v>0.0455</v>
      </c>
      <c r="L9">
        <f>IF(ISNUMBER('Monthly input'!B9),ROW(),"")</f>
        <v>9.0</v>
      </c>
      <c r="M9">
        <f>IF(OR('Monthly input'!N9="OK",'Monthly input'!N9="Some cells are empty",'Monthly input'!N9=""),1,0)</f>
        <v>1.0</v>
      </c>
      <c r="N9" s="20">
        <f>IF(ISNUMBER(C9),C9,NA())</f>
        <v>54.1666666666667</v>
      </c>
      <c r="O9" s="20">
        <f>IF(ISNUMBER(D9),D9,NA())</f>
        <v>3.16666666666667</v>
      </c>
      <c r="P9" s="20">
        <f>IF(ISNUMBER(E9),E9,NA())</f>
        <v>1.5</v>
      </c>
      <c r="Q9" s="21">
        <f>IF(ISNUMBER(G9),G9,NA())</f>
        <v>0.944767441860465</v>
      </c>
      <c r="R9" s="21">
        <f>IF(ISNUMBER(H9),H9,NA())</f>
        <v>0.80952380952381</v>
      </c>
      <c r="S9" s="21">
        <f>IF(ISNUMBER(I9),I9,NA())</f>
        <v>0.645833333333333</v>
      </c>
      <c r="T9" s="20">
        <f>IF(ISNUMBER(J9),J9,NA())</f>
        <v>3.37142857142857</v>
      </c>
      <c r="U9" s="22">
        <f>IF(ISNUMBER(K9),K9,NA())</f>
        <v>0.0455</v>
      </c>
      <c r="V9" s="22" t="n">
        <v>0.03</v>
      </c>
      <c r="W9">
        <f>IF(ISNUMBER('Monthly input'!D9),'Monthly input'!D9,NA())</f>
        <v>6.0</v>
      </c>
    </row>
    <row r="10">
      <c r="A10" s="14">
        <f>IF(ISNUMBER('Monthly input'!A10),'Monthly input'!A10,"")</f>
        <v>46054.0</v>
      </c>
      <c r="B10" s="15">
        <f>IF($M10=1,IF(AND(ISNUMBER('Monthly input'!B10),ISNUMBER('Monthly input'!C10)),'Monthly input'!B10-'Monthly input'!C10,""),"")</f>
        <v>302.5</v>
      </c>
      <c r="C10" s="16">
        <f>IF($M10=1,IF(AND(ISNUMBER(B10),ISNUMBER('Monthly input'!D10)),IF('Monthly input'!D10&gt;0,B10/'Monthly input'!D10,"No failures"),""),"")</f>
        <v>50.4166666666667</v>
      </c>
      <c r="D10" s="16">
        <f>IF($M10=1,IF(AND(ISNUMBER('Monthly input'!C10),ISNUMBER('Monthly input'!D10)),IF('Monthly input'!D10&gt;0,'Monthly input'!C10/'Monthly input'!D10,""),""),"")</f>
        <v>2.91666666666667</v>
      </c>
      <c r="E10" s="16">
        <f>IF($M10=1,IF(AND(ISNUMBER('Monthly input'!E10),ISNUMBER('Monthly input'!D10)),IF('Monthly input'!D10&gt;0,'Monthly input'!E10/'Monthly input'!D10,""),""),"")</f>
        <v>1.41666666666667</v>
      </c>
      <c r="F10" s="17">
        <f>IF($M10=1,IF(AND(ISNUMBER('Monthly input'!E10),ISNUMBER('Monthly input'!C10)),IF('Monthly input'!C10&gt;0,1-'Monthly input'!E10/'Monthly input'!C10,""),""),"")</f>
        <v>0.514285714285714</v>
      </c>
      <c r="G10" s="18">
        <f>IF($M10=1,IF(ISNUMBER(B10),IF('Monthly input'!B10&gt;0,B10/'Monthly input'!B10,""),""),"")</f>
        <v>0.9453125</v>
      </c>
      <c r="H10" s="18">
        <f>IF($M10=1,IF(AND(ISNUMBER('Monthly input'!G10),ISNUMBER('Monthly input'!F10)),IF('Monthly input'!F10&gt;0,'Monthly input'!G10/'Monthly input'!F10,""),""),"")</f>
        <v>0.85</v>
      </c>
      <c r="I10" s="18">
        <f>IF($M10=1,IF(AND(ISNUMBER('Monthly input'!H10),ISNUMBER('Monthly input'!I10)),IF('Monthly input'!I10&gt;0,'Monthly input'!H10/'Monthly input'!I10,""),""),"")</f>
        <v>0.678571428571429</v>
      </c>
      <c r="J10" s="16">
        <f>IF($M10=1,IF(AND(ISNUMBER('Monthly input'!J10),ISNUMBER('Monthly input'!K10)),IF('Monthly input'!K10&gt;0,'Monthly input'!J10/'Monthly input'!K10,""),""),"")</f>
        <v>3.11428571428571</v>
      </c>
      <c r="K10" s="19">
        <f>IF($M10=1,IF(AND(ISNUMBER('Monthly input'!L10),ISNUMBER('Monthly input'!M10)),IF('Monthly input'!M10&gt;0,'Monthly input'!L10*12/'Monthly input'!M10,""),""),"")</f>
        <v>0.044</v>
      </c>
      <c r="L10">
        <f>IF(ISNUMBER('Monthly input'!B10),ROW(),"")</f>
        <v>10.0</v>
      </c>
      <c r="M10">
        <f>IF(OR('Monthly input'!N10="OK",'Monthly input'!N10="Some cells are empty",'Monthly input'!N10=""),1,0)</f>
        <v>1.0</v>
      </c>
      <c r="N10" s="20">
        <f>IF(ISNUMBER(C10),C10,NA())</f>
        <v>50.4166666666667</v>
      </c>
      <c r="O10" s="20">
        <f>IF(ISNUMBER(D10),D10,NA())</f>
        <v>2.91666666666667</v>
      </c>
      <c r="P10" s="20">
        <f>IF(ISNUMBER(E10),E10,NA())</f>
        <v>1.41666666666667</v>
      </c>
      <c r="Q10" s="21">
        <f>IF(ISNUMBER(G10),G10,NA())</f>
        <v>0.9453125</v>
      </c>
      <c r="R10" s="21">
        <f>IF(ISNUMBER(H10),H10,NA())</f>
        <v>0.85</v>
      </c>
      <c r="S10" s="21">
        <f>IF(ISNUMBER(I10),I10,NA())</f>
        <v>0.678571428571429</v>
      </c>
      <c r="T10" s="20">
        <f>IF(ISNUMBER(J10),J10,NA())</f>
        <v>3.11428571428571</v>
      </c>
      <c r="U10" s="22">
        <f>IF(ISNUMBER(K10),K10,NA())</f>
        <v>0.044</v>
      </c>
      <c r="V10" s="22" t="n">
        <v>0.03</v>
      </c>
      <c r="W10">
        <f>IF(ISNUMBER('Monthly input'!D10),'Monthly input'!D10,NA())</f>
        <v>6.0</v>
      </c>
    </row>
    <row r="11">
      <c r="A11" s="14">
        <f>IF(ISNUMBER('Monthly input'!A11),'Monthly input'!A11,"")</f>
        <v>46082.0</v>
      </c>
      <c r="B11" s="15">
        <f>IF($M11=1,IF(AND(ISNUMBER('Monthly input'!B11),ISNUMBER('Monthly input'!C11)),'Monthly input'!B11-'Monthly input'!C11,""),"")</f>
        <v>337.0</v>
      </c>
      <c r="C11" s="16">
        <f>IF($M11=1,IF(AND(ISNUMBER(B11),ISNUMBER('Monthly input'!D11)),IF('Monthly input'!D11&gt;0,B11/'Monthly input'!D11,"No failures"),""),"")</f>
        <v>67.4</v>
      </c>
      <c r="D11" s="16">
        <f>IF($M11=1,IF(AND(ISNUMBER('Monthly input'!C11),ISNUMBER('Monthly input'!D11)),IF('Monthly input'!D11&gt;0,'Monthly input'!C11/'Monthly input'!D11,""),""),"")</f>
        <v>3.0</v>
      </c>
      <c r="E11" s="16">
        <f>IF($M11=1,IF(AND(ISNUMBER('Monthly input'!E11),ISNUMBER('Monthly input'!D11)),IF('Monthly input'!D11&gt;0,'Monthly input'!E11/'Monthly input'!D11,""),""),"")</f>
        <v>1.5</v>
      </c>
      <c r="F11" s="17">
        <f>IF($M11=1,IF(AND(ISNUMBER('Monthly input'!E11),ISNUMBER('Monthly input'!C11)),IF('Monthly input'!C11&gt;0,1-'Monthly input'!E11/'Monthly input'!C11,""),""),"")</f>
        <v>0.5</v>
      </c>
      <c r="G11" s="18">
        <f>IF($M11=1,IF(ISNUMBER(B11),IF('Monthly input'!B11&gt;0,B11/'Monthly input'!B11,""),""),"")</f>
        <v>0.957386363636364</v>
      </c>
      <c r="H11" s="18">
        <f>IF($M11=1,IF(AND(ISNUMBER('Monthly input'!G11),ISNUMBER('Monthly input'!F11)),IF('Monthly input'!F11&gt;0,'Monthly input'!G11/'Monthly input'!F11,""),""),"")</f>
        <v>0.886363636363636</v>
      </c>
      <c r="I11" s="18">
        <f>IF($M11=1,IF(AND(ISNUMBER('Monthly input'!H11),ISNUMBER('Monthly input'!I11)),IF('Monthly input'!I11&gt;0,'Monthly input'!H11/'Monthly input'!I11,""),""),"")</f>
        <v>0.722972972972973</v>
      </c>
      <c r="J11" s="16">
        <f>IF($M11=1,IF(AND(ISNUMBER('Monthly input'!J11),ISNUMBER('Monthly input'!K11)),IF('Monthly input'!K11&gt;0,'Monthly input'!J11/'Monthly input'!K11,""),""),"")</f>
        <v>2.91428571428571</v>
      </c>
      <c r="K11" s="19">
        <f>IF($M11=1,IF(AND(ISNUMBER('Monthly input'!L11),ISNUMBER('Monthly input'!M11)),IF('Monthly input'!M11&gt;0,'Monthly input'!L11*12/'Monthly input'!M11,""),""),"")</f>
        <v>0.0415</v>
      </c>
      <c r="L11">
        <f>IF(ISNUMBER('Monthly input'!B11),ROW(),"")</f>
        <v>11.0</v>
      </c>
      <c r="M11">
        <f>IF(OR('Monthly input'!N11="OK",'Monthly input'!N11="Some cells are empty",'Monthly input'!N11=""),1,0)</f>
        <v>1.0</v>
      </c>
      <c r="N11" s="20">
        <f>IF(ISNUMBER(C11),C11,NA())</f>
        <v>67.4</v>
      </c>
      <c r="O11" s="20">
        <f>IF(ISNUMBER(D11),D11,NA())</f>
        <v>3.0</v>
      </c>
      <c r="P11" s="20">
        <f>IF(ISNUMBER(E11),E11,NA())</f>
        <v>1.5</v>
      </c>
      <c r="Q11" s="21">
        <f>IF(ISNUMBER(G11),G11,NA())</f>
        <v>0.957386363636364</v>
      </c>
      <c r="R11" s="21">
        <f>IF(ISNUMBER(H11),H11,NA())</f>
        <v>0.886363636363636</v>
      </c>
      <c r="S11" s="21">
        <f>IF(ISNUMBER(I11),I11,NA())</f>
        <v>0.722972972972973</v>
      </c>
      <c r="T11" s="20">
        <f>IF(ISNUMBER(J11),J11,NA())</f>
        <v>2.91428571428571</v>
      </c>
      <c r="U11" s="22">
        <f>IF(ISNUMBER(K11),K11,NA())</f>
        <v>0.0415</v>
      </c>
      <c r="V11" s="22" t="n">
        <v>0.03</v>
      </c>
      <c r="W11">
        <f>IF(ISNUMBER('Monthly input'!D11),'Monthly input'!D11,NA())</f>
        <v>5.0</v>
      </c>
    </row>
    <row r="12">
      <c r="A12" s="14">
        <f>IF(ISNUMBER('Monthly input'!A12),'Monthly input'!A12,"")</f>
        <v>46113.0</v>
      </c>
      <c r="B12" s="15">
        <f>IF($M12=1,IF(AND(ISNUMBER('Monthly input'!B12),ISNUMBER('Monthly input'!C12)),'Monthly input'!B12-'Monthly input'!C12,""),"")</f>
        <v>319.5</v>
      </c>
      <c r="C12" s="16">
        <f>IF($M12=1,IF(AND(ISNUMBER(B12),ISNUMBER('Monthly input'!D12)),IF('Monthly input'!D12&gt;0,B12/'Monthly input'!D12,"No failures"),""),"")</f>
        <v>63.9</v>
      </c>
      <c r="D12" s="16">
        <f>IF($M12=1,IF(AND(ISNUMBER('Monthly input'!C12),ISNUMBER('Monthly input'!D12)),IF('Monthly input'!D12&gt;0,'Monthly input'!C12/'Monthly input'!D12,""),""),"")</f>
        <v>3.3</v>
      </c>
      <c r="E12" s="16">
        <f>IF($M12=1,IF(AND(ISNUMBER('Monthly input'!E12),ISNUMBER('Monthly input'!D12)),IF('Monthly input'!D12&gt;0,'Monthly input'!E12/'Monthly input'!D12,""),""),"")</f>
        <v>1.4</v>
      </c>
      <c r="F12" s="17">
        <f>IF($M12=1,IF(AND(ISNUMBER('Monthly input'!E12),ISNUMBER('Monthly input'!C12)),IF('Monthly input'!C12&gt;0,1-'Monthly input'!E12/'Monthly input'!C12,""),""),"")</f>
        <v>0.575757575757576</v>
      </c>
      <c r="G12" s="18">
        <f>IF($M12=1,IF(ISNUMBER(B12),IF('Monthly input'!B12&gt;0,B12/'Monthly input'!B12,""),""),"")</f>
        <v>0.950892857142857</v>
      </c>
      <c r="H12" s="18">
        <f>IF($M12=1,IF(AND(ISNUMBER('Monthly input'!G12),ISNUMBER('Monthly input'!F12)),IF('Monthly input'!F12&gt;0,'Monthly input'!G12/'Monthly input'!F12,""),""),"")</f>
        <v>0.880952380952381</v>
      </c>
      <c r="I12" s="18">
        <f>IF($M12=1,IF(AND(ISNUMBER('Monthly input'!H12),ISNUMBER('Monthly input'!I12)),IF('Monthly input'!I12&gt;0,'Monthly input'!H12/'Monthly input'!I12,""),""),"")</f>
        <v>0.719298245614035</v>
      </c>
      <c r="J12" s="16">
        <f>IF($M12=1,IF(AND(ISNUMBER('Monthly input'!J12),ISNUMBER('Monthly input'!K12)),IF('Monthly input'!K12&gt;0,'Monthly input'!J12/'Monthly input'!K12,""),""),"")</f>
        <v>2.82857142857143</v>
      </c>
      <c r="K12" s="19">
        <f>IF($M12=1,IF(AND(ISNUMBER('Monthly input'!L12),ISNUMBER('Monthly input'!M12)),IF('Monthly input'!M12&gt;0,'Monthly input'!L12*12/'Monthly input'!M12,""),""),"")</f>
        <v>0.0385714285714286</v>
      </c>
      <c r="L12">
        <f>IF(ISNUMBER('Monthly input'!B12),ROW(),"")</f>
        <v>12.0</v>
      </c>
      <c r="M12">
        <f>IF(OR('Monthly input'!N12="OK",'Monthly input'!N12="Some cells are empty",'Monthly input'!N12=""),1,0)</f>
        <v>1.0</v>
      </c>
      <c r="N12" s="20">
        <f>IF(ISNUMBER(C12),C12,NA())</f>
        <v>63.9</v>
      </c>
      <c r="O12" s="20">
        <f>IF(ISNUMBER(D12),D12,NA())</f>
        <v>3.3</v>
      </c>
      <c r="P12" s="20">
        <f>IF(ISNUMBER(E12),E12,NA())</f>
        <v>1.4</v>
      </c>
      <c r="Q12" s="21">
        <f>IF(ISNUMBER(G12),G12,NA())</f>
        <v>0.950892857142857</v>
      </c>
      <c r="R12" s="21">
        <f>IF(ISNUMBER(H12),H12,NA())</f>
        <v>0.880952380952381</v>
      </c>
      <c r="S12" s="21">
        <f>IF(ISNUMBER(I12),I12,NA())</f>
        <v>0.719298245614035</v>
      </c>
      <c r="T12" s="20">
        <f>IF(ISNUMBER(J12),J12,NA())</f>
        <v>2.82857142857143</v>
      </c>
      <c r="U12" s="22">
        <f>IF(ISNUMBER(K12),K12,NA())</f>
        <v>0.0385714285714286</v>
      </c>
      <c r="V12" s="22" t="n">
        <v>0.03</v>
      </c>
      <c r="W12">
        <f>IF(ISNUMBER('Monthly input'!D12),'Monthly input'!D12,NA())</f>
        <v>5.0</v>
      </c>
    </row>
    <row r="13">
      <c r="A13" s="14">
        <f>IF(ISNUMBER('Monthly input'!A13),'Monthly input'!A13,"")</f>
        <v>46143.0</v>
      </c>
      <c r="B13" s="15">
        <f>IF($M13=1,IF(AND(ISNUMBER('Monthly input'!B13),ISNUMBER('Monthly input'!C13)),'Monthly input'!B13-'Monthly input'!C13,""),"")</f>
        <v>331.5</v>
      </c>
      <c r="C13" s="16">
        <f>IF($M13=1,IF(AND(ISNUMBER(B13),ISNUMBER('Monthly input'!D13)),IF('Monthly input'!D13&gt;0,B13/'Monthly input'!D13,"No failures"),""),"")</f>
        <v>82.875</v>
      </c>
      <c r="D13" s="16">
        <f>IF($M13=1,IF(AND(ISNUMBER('Monthly input'!C13),ISNUMBER('Monthly input'!D13)),IF('Monthly input'!D13&gt;0,'Monthly input'!C13/'Monthly input'!D13,""),""),"")</f>
        <v>3.125</v>
      </c>
      <c r="E13" s="16">
        <f>IF($M13=1,IF(AND(ISNUMBER('Monthly input'!E13),ISNUMBER('Monthly input'!D13)),IF('Monthly input'!D13&gt;0,'Monthly input'!E13/'Monthly input'!D13,""),""),"")</f>
        <v>1.5</v>
      </c>
      <c r="F13" s="17">
        <f>IF($M13=1,IF(AND(ISNUMBER('Monthly input'!E13),ISNUMBER('Monthly input'!C13)),IF('Monthly input'!C13&gt;0,1-'Monthly input'!E13/'Monthly input'!C13,""),""),"")</f>
        <v>0.52</v>
      </c>
      <c r="G13" s="18">
        <f>IF($M13=1,IF(ISNUMBER(B13),IF('Monthly input'!B13&gt;0,B13/'Monthly input'!B13,""),""),"")</f>
        <v>0.963662790697675</v>
      </c>
      <c r="H13" s="18">
        <f>IF($M13=1,IF(AND(ISNUMBER('Monthly input'!G13),ISNUMBER('Monthly input'!F13)),IF('Monthly input'!F13&gt;0,'Monthly input'!G13/'Monthly input'!F13,""),""),"")</f>
        <v>0.909090909090909</v>
      </c>
      <c r="I13" s="18">
        <f>IF($M13=1,IF(AND(ISNUMBER('Monthly input'!H13),ISNUMBER('Monthly input'!I13)),IF('Monthly input'!I13&gt;0,'Monthly input'!H13/'Monthly input'!I13,""),""),"")</f>
        <v>0.772413793103448</v>
      </c>
      <c r="J13" s="16">
        <f>IF($M13=1,IF(AND(ISNUMBER('Monthly input'!J13),ISNUMBER('Monthly input'!K13)),IF('Monthly input'!K13&gt;0,'Monthly input'!J13/'Monthly input'!K13,""),""),"")</f>
        <v>2.65714285714286</v>
      </c>
      <c r="K13" s="19">
        <f>IF($M13=1,IF(AND(ISNUMBER('Monthly input'!L13),ISNUMBER('Monthly input'!M13)),IF('Monthly input'!M13&gt;0,'Monthly input'!L13*12/'Monthly input'!M13,""),""),"")</f>
        <v>0.0361904761904762</v>
      </c>
      <c r="L13">
        <f>IF(ISNUMBER('Monthly input'!B13),ROW(),"")</f>
        <v>13.0</v>
      </c>
      <c r="M13">
        <f>IF(OR('Monthly input'!N13="OK",'Monthly input'!N13="Some cells are empty",'Monthly input'!N13=""),1,0)</f>
        <v>1.0</v>
      </c>
      <c r="N13" s="20">
        <f>IF(ISNUMBER(C13),C13,NA())</f>
        <v>82.875</v>
      </c>
      <c r="O13" s="20">
        <f>IF(ISNUMBER(D13),D13,NA())</f>
        <v>3.125</v>
      </c>
      <c r="P13" s="20">
        <f>IF(ISNUMBER(E13),E13,NA())</f>
        <v>1.5</v>
      </c>
      <c r="Q13" s="21">
        <f>IF(ISNUMBER(G13),G13,NA())</f>
        <v>0.963662790697675</v>
      </c>
      <c r="R13" s="21">
        <f>IF(ISNUMBER(H13),H13,NA())</f>
        <v>0.909090909090909</v>
      </c>
      <c r="S13" s="21">
        <f>IF(ISNUMBER(I13),I13,NA())</f>
        <v>0.772413793103448</v>
      </c>
      <c r="T13" s="20">
        <f>IF(ISNUMBER(J13),J13,NA())</f>
        <v>2.65714285714286</v>
      </c>
      <c r="U13" s="22">
        <f>IF(ISNUMBER(K13),K13,NA())</f>
        <v>0.0361904761904762</v>
      </c>
      <c r="V13" s="22" t="n">
        <v>0.03</v>
      </c>
      <c r="W13">
        <f>IF(ISNUMBER('Monthly input'!D13),'Monthly input'!D13,NA())</f>
        <v>4.0</v>
      </c>
    </row>
    <row r="14">
      <c r="A14" s="14">
        <f>IF(ISNUMBER('Monthly input'!A14),'Monthly input'!A14,"")</f>
        <v>46174.0</v>
      </c>
      <c r="B14" s="15">
        <f>IF($M14=1,IF(AND(ISNUMBER('Monthly input'!B14),ISNUMBER('Monthly input'!C14)),'Monthly input'!B14-'Monthly input'!C14,""),"")</f>
        <v>338.0</v>
      </c>
      <c r="C14" s="16">
        <f>IF($M14=1,IF(AND(ISNUMBER(B14),ISNUMBER('Monthly input'!D14)),IF('Monthly input'!D14&gt;0,B14/'Monthly input'!D14,"No failures"),""),"")</f>
        <v>67.6</v>
      </c>
      <c r="D14" s="16">
        <f>IF($M14=1,IF(AND(ISNUMBER('Monthly input'!C14),ISNUMBER('Monthly input'!D14)),IF('Monthly input'!D14&gt;0,'Monthly input'!C14/'Monthly input'!D14,""),""),"")</f>
        <v>2.8</v>
      </c>
      <c r="E14" s="16">
        <f>IF($M14=1,IF(AND(ISNUMBER('Monthly input'!E14),ISNUMBER('Monthly input'!D14)),IF('Monthly input'!D14&gt;0,'Monthly input'!E14/'Monthly input'!D14,""),""),"")</f>
        <v>1.3</v>
      </c>
      <c r="F14" s="17">
        <f>IF($M14=1,IF(AND(ISNUMBER('Monthly input'!E14),ISNUMBER('Monthly input'!C14)),IF('Monthly input'!C14&gt;0,1-'Monthly input'!E14/'Monthly input'!C14,""),""),"")</f>
        <v>0.535714285714286</v>
      </c>
      <c r="G14" s="18">
        <f>IF($M14=1,IF(ISNUMBER(B14),IF('Monthly input'!B14&gt;0,B14/'Monthly input'!B14,""),""),"")</f>
        <v>0.960227272727273</v>
      </c>
      <c r="H14" s="18">
        <f>IF($M14=1,IF(AND(ISNUMBER('Monthly input'!G14),ISNUMBER('Monthly input'!F14)),IF('Monthly input'!F14&gt;0,'Monthly input'!G14/'Monthly input'!F14,""),""),"")</f>
        <v>0.931818181818182</v>
      </c>
      <c r="I14" s="18">
        <f>IF($M14=1,IF(AND(ISNUMBER('Monthly input'!H14),ISNUMBER('Monthly input'!I14)),IF('Monthly input'!I14&gt;0,'Monthly input'!H14/'Monthly input'!I14,""),""),"")</f>
        <v>0.773972602739726</v>
      </c>
      <c r="J14" s="16">
        <f>IF($M14=1,IF(AND(ISNUMBER('Monthly input'!J14),ISNUMBER('Monthly input'!K14)),IF('Monthly input'!K14&gt;0,'Monthly input'!J14/'Monthly input'!K14,""),""),"")</f>
        <v>2.57142857142857</v>
      </c>
      <c r="K14" s="19">
        <f>IF($M14=1,IF(AND(ISNUMBER('Monthly input'!L14),ISNUMBER('Monthly input'!M14)),IF('Monthly input'!M14&gt;0,'Monthly input'!L14*12/'Monthly input'!M14,""),""),"")</f>
        <v>0.0371428571428571</v>
      </c>
      <c r="L14">
        <f>IF(ISNUMBER('Monthly input'!B14),ROW(),"")</f>
        <v>14.0</v>
      </c>
      <c r="M14">
        <f>IF(OR('Monthly input'!N14="OK",'Monthly input'!N14="Some cells are empty",'Monthly input'!N14=""),1,0)</f>
        <v>1.0</v>
      </c>
      <c r="N14" s="20">
        <f>IF(ISNUMBER(C14),C14,NA())</f>
        <v>67.6</v>
      </c>
      <c r="O14" s="20">
        <f>IF(ISNUMBER(D14),D14,NA())</f>
        <v>2.8</v>
      </c>
      <c r="P14" s="20">
        <f>IF(ISNUMBER(E14),E14,NA())</f>
        <v>1.3</v>
      </c>
      <c r="Q14" s="21">
        <f>IF(ISNUMBER(G14),G14,NA())</f>
        <v>0.960227272727273</v>
      </c>
      <c r="R14" s="21">
        <f>IF(ISNUMBER(H14),H14,NA())</f>
        <v>0.931818181818182</v>
      </c>
      <c r="S14" s="21">
        <f>IF(ISNUMBER(I14),I14,NA())</f>
        <v>0.773972602739726</v>
      </c>
      <c r="T14" s="20">
        <f>IF(ISNUMBER(J14),J14,NA())</f>
        <v>2.57142857142857</v>
      </c>
      <c r="U14" s="22">
        <f>IF(ISNUMBER(K14),K14,NA())</f>
        <v>0.0371428571428571</v>
      </c>
      <c r="V14" s="22" t="n">
        <v>0.03</v>
      </c>
      <c r="W14">
        <f>IF(ISNUMBER('Monthly input'!D14),'Monthly input'!D14,NA())</f>
        <v>5.0</v>
      </c>
    </row>
    <row r="15">
      <c r="A15" s="14">
        <f>IF(ISNUMBER('Monthly input'!A15),'Monthly input'!A15,"")</f>
        <v>46204.0</v>
      </c>
      <c r="B15" s="15">
        <f>IF($M15=1,IF(AND(ISNUMBER('Monthly input'!B15),ISNUMBER('Monthly input'!C15)),'Monthly input'!B15-'Monthly input'!C15,""),"")</f>
        <v>293.5</v>
      </c>
      <c r="C15" s="16">
        <f>IF($M15=1,IF(AND(ISNUMBER(B15),ISNUMBER('Monthly input'!D15)),IF('Monthly input'!D15&gt;0,B15/'Monthly input'!D15,"No failures"),""),"")</f>
        <v>58.7</v>
      </c>
      <c r="D15" s="16">
        <f>IF($M15=1,IF(AND(ISNUMBER('Monthly input'!C15),ISNUMBER('Monthly input'!D15)),IF('Monthly input'!D15&gt;0,'Monthly input'!C15/'Monthly input'!D15,""),""),"")</f>
        <v>3.7</v>
      </c>
      <c r="E15" s="16">
        <f>IF($M15=1,IF(AND(ISNUMBER('Monthly input'!E15),ISNUMBER('Monthly input'!D15)),IF('Monthly input'!D15&gt;0,'Monthly input'!E15/'Monthly input'!D15,""),""),"")</f>
        <v>1.4</v>
      </c>
      <c r="F15" s="17">
        <f>IF($M15=1,IF(AND(ISNUMBER('Monthly input'!E15),ISNUMBER('Monthly input'!C15)),IF('Monthly input'!C15&gt;0,1-'Monthly input'!E15/'Monthly input'!C15,""),""),"")</f>
        <v>0.621621621621622</v>
      </c>
      <c r="G15" s="18">
        <f>IF($M15=1,IF(ISNUMBER(B15),IF('Monthly input'!B15&gt;0,B15/'Monthly input'!B15,""),""),"")</f>
        <v>0.940705128205128</v>
      </c>
      <c r="H15" s="18">
        <f>IF($M15=1,IF(AND(ISNUMBER('Monthly input'!G15),ISNUMBER('Monthly input'!F15)),IF('Monthly input'!F15&gt;0,'Monthly input'!G15/'Monthly input'!F15,""),""),"")</f>
        <v>0.825</v>
      </c>
      <c r="I15" s="18">
        <f>IF($M15=1,IF(AND(ISNUMBER('Monthly input'!H15),ISNUMBER('Monthly input'!I15)),IF('Monthly input'!I15&gt;0,'Monthly input'!H15/'Monthly input'!I15,""),""),"")</f>
        <v>0.67910447761194</v>
      </c>
      <c r="J15" s="16">
        <f>IF($M15=1,IF(AND(ISNUMBER('Monthly input'!J15),ISNUMBER('Monthly input'!K15)),IF('Monthly input'!K15&gt;0,'Monthly input'!J15/'Monthly input'!K15,""),""),"")</f>
        <v>3.56666666666667</v>
      </c>
      <c r="K15" s="19">
        <f>IF($M15=1,IF(AND(ISNUMBER('Monthly input'!L15),ISNUMBER('Monthly input'!M15)),IF('Monthly input'!M15&gt;0,'Monthly input'!L15*12/'Monthly input'!M15,""),""),"")</f>
        <v>0.040952380952381</v>
      </c>
      <c r="L15">
        <f>IF(ISNUMBER('Monthly input'!B15),ROW(),"")</f>
        <v>15.0</v>
      </c>
      <c r="M15">
        <f>IF(OR('Monthly input'!N15="OK",'Monthly input'!N15="Some cells are empty",'Monthly input'!N15=""),1,0)</f>
        <v>1.0</v>
      </c>
      <c r="N15" s="20">
        <f>IF(ISNUMBER(C15),C15,NA())</f>
        <v>58.7</v>
      </c>
      <c r="O15" s="20">
        <f>IF(ISNUMBER(D15),D15,NA())</f>
        <v>3.7</v>
      </c>
      <c r="P15" s="20">
        <f>IF(ISNUMBER(E15),E15,NA())</f>
        <v>1.4</v>
      </c>
      <c r="Q15" s="21">
        <f>IF(ISNUMBER(G15),G15,NA())</f>
        <v>0.940705128205128</v>
      </c>
      <c r="R15" s="21">
        <f>IF(ISNUMBER(H15),H15,NA())</f>
        <v>0.825</v>
      </c>
      <c r="S15" s="21">
        <f>IF(ISNUMBER(I15),I15,NA())</f>
        <v>0.67910447761194</v>
      </c>
      <c r="T15" s="20">
        <f>IF(ISNUMBER(J15),J15,NA())</f>
        <v>3.56666666666667</v>
      </c>
      <c r="U15" s="22">
        <f>IF(ISNUMBER(K15),K15,NA())</f>
        <v>0.040952380952381</v>
      </c>
      <c r="V15" s="22" t="n">
        <v>0.03</v>
      </c>
      <c r="W15">
        <f>IF(ISNUMBER('Monthly input'!D15),'Monthly input'!D15,NA())</f>
        <v>5.0</v>
      </c>
    </row>
    <row r="16">
      <c r="A16" s="14">
        <f>IF(ISNUMBER('Monthly input'!A16),'Monthly input'!A16,"")</f>
        <v>46235.0</v>
      </c>
      <c r="B16" s="15">
        <f>IF($M16=1,IF(AND(ISNUMBER('Monthly input'!B16),ISNUMBER('Monthly input'!C16)),'Monthly input'!B16-'Monthly input'!C16,""),"")</f>
        <v>317.0</v>
      </c>
      <c r="C16" s="16">
        <f>IF($M16=1,IF(AND(ISNUMBER(B16),ISNUMBER('Monthly input'!D16)),IF('Monthly input'!D16&gt;0,B16/'Monthly input'!D16,"No failures"),""),"")</f>
        <v>79.25</v>
      </c>
      <c r="D16" s="16">
        <f>IF($M16=1,IF(AND(ISNUMBER('Monthly input'!C16),ISNUMBER('Monthly input'!D16)),IF('Monthly input'!D16&gt;0,'Monthly input'!C16/'Monthly input'!D16,""),""),"")</f>
        <v>2.75</v>
      </c>
      <c r="E16" s="16">
        <f>IF($M16=1,IF(AND(ISNUMBER('Monthly input'!E16),ISNUMBER('Monthly input'!D16)),IF('Monthly input'!D16&gt;0,'Monthly input'!E16/'Monthly input'!D16,""),""),"")</f>
        <v>1.375</v>
      </c>
      <c r="F16" s="17">
        <f>IF($M16=1,IF(AND(ISNUMBER('Monthly input'!E16),ISNUMBER('Monthly input'!C16)),IF('Monthly input'!C16&gt;0,1-'Monthly input'!E16/'Monthly input'!C16,""),""),"")</f>
        <v>0.5</v>
      </c>
      <c r="G16" s="18">
        <f>IF($M16=1,IF(ISNUMBER(B16),IF('Monthly input'!B16&gt;0,B16/'Monthly input'!B16,""),""),"")</f>
        <v>0.966463414634146</v>
      </c>
      <c r="H16" s="18">
        <f>IF($M16=1,IF(AND(ISNUMBER('Monthly input'!G16),ISNUMBER('Monthly input'!F16)),IF('Monthly input'!F16&gt;0,'Monthly input'!G16/'Monthly input'!F16,""),""),"")</f>
        <v>0.952380952380952</v>
      </c>
      <c r="I16" s="18">
        <f>IF($M16=1,IF(AND(ISNUMBER('Monthly input'!H16),ISNUMBER('Monthly input'!I16)),IF('Monthly input'!I16&gt;0,'Monthly input'!H16/'Monthly input'!I16,""),""),"")</f>
        <v>0.792857142857143</v>
      </c>
      <c r="J16" s="16">
        <f>IF($M16=1,IF(AND(ISNUMBER('Monthly input'!J16),ISNUMBER('Monthly input'!K16)),IF('Monthly input'!K16&gt;0,'Monthly input'!J16/'Monthly input'!K16,""),""),"")</f>
        <v>2.51428571428571</v>
      </c>
      <c r="K16" s="19">
        <f>IF($M16=1,IF(AND(ISNUMBER('Monthly input'!L16),ISNUMBER('Monthly input'!M16)),IF('Monthly input'!M16&gt;0,'Monthly input'!L16*12/'Monthly input'!M16,""),""),"")</f>
        <v>0.0338095238095238</v>
      </c>
      <c r="L16">
        <f>IF(ISNUMBER('Monthly input'!B16),ROW(),"")</f>
        <v>16.0</v>
      </c>
      <c r="M16">
        <f>IF(OR('Monthly input'!N16="OK",'Monthly input'!N16="Some cells are empty",'Monthly input'!N16=""),1,0)</f>
        <v>1.0</v>
      </c>
      <c r="N16" s="20">
        <f>IF(ISNUMBER(C16),C16,NA())</f>
        <v>79.25</v>
      </c>
      <c r="O16" s="20">
        <f>IF(ISNUMBER(D16),D16,NA())</f>
        <v>2.75</v>
      </c>
      <c r="P16" s="20">
        <f>IF(ISNUMBER(E16),E16,NA())</f>
        <v>1.375</v>
      </c>
      <c r="Q16" s="21">
        <f>IF(ISNUMBER(G16),G16,NA())</f>
        <v>0.966463414634146</v>
      </c>
      <c r="R16" s="21">
        <f>IF(ISNUMBER(H16),H16,NA())</f>
        <v>0.952380952380952</v>
      </c>
      <c r="S16" s="21">
        <f>IF(ISNUMBER(I16),I16,NA())</f>
        <v>0.792857142857143</v>
      </c>
      <c r="T16" s="20">
        <f>IF(ISNUMBER(J16),J16,NA())</f>
        <v>2.51428571428571</v>
      </c>
      <c r="U16" s="22">
        <f>IF(ISNUMBER(K16),K16,NA())</f>
        <v>0.0338095238095238</v>
      </c>
      <c r="V16" s="22" t="n">
        <v>0.03</v>
      </c>
      <c r="W16">
        <f>IF(ISNUMBER('Monthly input'!D16),'Monthly input'!D16,NA())</f>
        <v>4.0</v>
      </c>
    </row>
    <row r="17">
      <c r="A17" s="14">
        <f>IF(ISNUMBER('Monthly input'!A17),'Monthly input'!A17,"")</f>
        <v>46266.0</v>
      </c>
      <c r="B17" s="15">
        <f>IF($M17=1,IF(AND(ISNUMBER('Monthly input'!B17),ISNUMBER('Monthly input'!C17)),'Monthly input'!B17-'Monthly input'!C17,""),"")</f>
        <v>341.5</v>
      </c>
      <c r="C17" s="16">
        <f>IF($M17=1,IF(AND(ISNUMBER(B17),ISNUMBER('Monthly input'!D17)),IF('Monthly input'!D17&gt;0,B17/'Monthly input'!D17,"No failures"),""),"")</f>
        <v>113.833333333333</v>
      </c>
      <c r="D17" s="16">
        <f>IF($M17=1,IF(AND(ISNUMBER('Monthly input'!C17),ISNUMBER('Monthly input'!D17)),IF('Monthly input'!D17&gt;0,'Monthly input'!C17/'Monthly input'!D17,""),""),"")</f>
        <v>3.5</v>
      </c>
      <c r="E17" s="16">
        <f>IF($M17=1,IF(AND(ISNUMBER('Monthly input'!E17),ISNUMBER('Monthly input'!D17)),IF('Monthly input'!D17&gt;0,'Monthly input'!E17/'Monthly input'!D17,""),""),"")</f>
        <v>1.66666666666667</v>
      </c>
      <c r="F17" s="17">
        <f>IF($M17=1,IF(AND(ISNUMBER('Monthly input'!E17),ISNUMBER('Monthly input'!C17)),IF('Monthly input'!C17&gt;0,1-'Monthly input'!E17/'Monthly input'!C17,""),""),"")</f>
        <v>0.523809523809524</v>
      </c>
      <c r="G17" s="18">
        <f>IF($M17=1,IF(ISNUMBER(B17),IF('Monthly input'!B17&gt;0,B17/'Monthly input'!B17,""),""),"")</f>
        <v>0.970170454545455</v>
      </c>
      <c r="H17" s="18">
        <f>IF($M17=1,IF(AND(ISNUMBER('Monthly input'!G17),ISNUMBER('Monthly input'!F17)),IF('Monthly input'!F17&gt;0,'Monthly input'!G17/'Monthly input'!F17,""),""),"")</f>
        <v>0.956521739130435</v>
      </c>
      <c r="I17" s="18">
        <f>IF($M17=1,IF(AND(ISNUMBER('Monthly input'!H17),ISNUMBER('Monthly input'!I17)),IF('Monthly input'!I17&gt;0,'Monthly input'!H17/'Monthly input'!I17,""),""),"")</f>
        <v>0.815068493150685</v>
      </c>
      <c r="J17" s="16">
        <f>IF($M17=1,IF(AND(ISNUMBER('Monthly input'!J17),ISNUMBER('Monthly input'!K17)),IF('Monthly input'!K17&gt;0,'Monthly input'!J17/'Monthly input'!K17,""),""),"")</f>
        <v>2.4</v>
      </c>
      <c r="K17" s="19">
        <f>IF($M17=1,IF(AND(ISNUMBER('Monthly input'!L17),ISNUMBER('Monthly input'!M17)),IF('Monthly input'!M17&gt;0,'Monthly input'!L17*12/'Monthly input'!M17,""),""),"")</f>
        <v>0.0328571428571429</v>
      </c>
      <c r="L17">
        <f>IF(ISNUMBER('Monthly input'!B17),ROW(),"")</f>
        <v>17.0</v>
      </c>
      <c r="M17">
        <f>IF(OR('Monthly input'!N17="OK",'Monthly input'!N17="Some cells are empty",'Monthly input'!N17=""),1,0)</f>
        <v>1.0</v>
      </c>
      <c r="N17" s="20">
        <f>IF(ISNUMBER(C17),C17,NA())</f>
        <v>113.833333333333</v>
      </c>
      <c r="O17" s="20">
        <f>IF(ISNUMBER(D17),D17,NA())</f>
        <v>3.5</v>
      </c>
      <c r="P17" s="20">
        <f>IF(ISNUMBER(E17),E17,NA())</f>
        <v>1.66666666666667</v>
      </c>
      <c r="Q17" s="21">
        <f>IF(ISNUMBER(G17),G17,NA())</f>
        <v>0.970170454545455</v>
      </c>
      <c r="R17" s="21">
        <f>IF(ISNUMBER(H17),H17,NA())</f>
        <v>0.956521739130435</v>
      </c>
      <c r="S17" s="21">
        <f>IF(ISNUMBER(I17),I17,NA())</f>
        <v>0.815068493150685</v>
      </c>
      <c r="T17" s="20">
        <f>IF(ISNUMBER(J17),J17,NA())</f>
        <v>2.4</v>
      </c>
      <c r="U17" s="22">
        <f>IF(ISNUMBER(K17),K17,NA())</f>
        <v>0.0328571428571429</v>
      </c>
      <c r="V17" s="22" t="n">
        <v>0.03</v>
      </c>
      <c r="W17">
        <f>IF(ISNUMBER('Monthly input'!D17),'Monthly input'!D17,NA())</f>
        <v>3.0</v>
      </c>
    </row>
    <row r="18">
      <c r="A18" s="23" t="inlineStr">
        <is>
          <t>All months</t>
        </is>
      </c>
      <c r="B18" s="24">
        <f>IF(COUNTIFS($M$6:$M$17,1,'Monthly input'!B6:B17,"&lt;&gt;")=0,"",SUMIFS('Monthly input'!B6:B17,$M$6:$M$17,1)-SUMIFS('Monthly input'!C6:C17,$M$6:$M$17,1))</f>
        <v>3824.5</v>
      </c>
      <c r="C18" s="25">
        <f>IF(SUMIFS('Monthly input'!D6:D17,$M$6:$M$17,1)&gt;0,(SUMIFS('Monthly input'!B6:B17,$M$6:$M$17,1)-SUMIFS('Monthly input'!C6:C17,$M$6:$M$17,1))/SUMIFS('Monthly input'!D6:D17,$M$6:$M$17,1),IF(COUNTIFS($M$6:$M$17,1,'Monthly input'!D6:D17,"&lt;&gt;")&gt;0,"No failures",""))</f>
        <v>58.8384615384615</v>
      </c>
      <c r="D18" s="25">
        <f>IF(SUMIFS('Monthly input'!D6:D17,$M$6:$M$17,1)&gt;0,SUMIFS('Monthly input'!C6:C17,$M$6:$M$17,1)/SUMIFS('Monthly input'!D6:D17,$M$6:$M$17,1),"")</f>
        <v>3.19230769230769</v>
      </c>
      <c r="E18" s="25">
        <f>IF(SUMIFS('Monthly input'!D6:D17,$M$6:$M$17,1)&gt;0,SUMIFS('Monthly input'!E6:E17,$M$6:$M$17,1)/SUMIFS('Monthly input'!D6:D17,$M$6:$M$17,1),"")</f>
        <v>1.42307692307692</v>
      </c>
      <c r="F18" s="26">
        <f>IF(SUMIFS('Monthly input'!C6:C17,$M$6:$M$17,1)&gt;0,1-SUMIFS('Monthly input'!E6:E17,$M$6:$M$17,1)/SUMIFS('Monthly input'!C6:C17,$M$6:$M$17,1),"")</f>
        <v>0.55421686746988</v>
      </c>
      <c r="G18" s="27">
        <f>IF(SUMIFS('Monthly input'!B6:B17,$M$6:$M$17,1)&gt;0,1-SUMIFS('Monthly input'!C6:C17,$M$6:$M$17,1)/SUMIFS('Monthly input'!B6:B17,$M$6:$M$17,1),"")</f>
        <v>0.948536706349206</v>
      </c>
      <c r="H18" s="27">
        <f>IF(SUMIFS('Monthly input'!F6:F17,$M$6:$M$17,1)&gt;0,SUMIFS('Monthly input'!G6:G17,$M$6:$M$17,1)/SUMIFS('Monthly input'!F6:F17,$M$6:$M$17,1),"")</f>
        <v>0.860557768924303</v>
      </c>
      <c r="I18" s="27">
        <f>IF(SUMIFS('Monthly input'!I6:I17,$M$6:$M$17,1)&gt;0,SUMIFS('Monthly input'!H6:H17,$M$6:$M$17,1)/SUMIFS('Monthly input'!I6:I17,$M$6:$M$17,1),"")</f>
        <v>0.695410698626133</v>
      </c>
      <c r="J18" s="25">
        <f>IF(L18=0,"",INDEX(J1:J17,L18))</f>
        <v>2.4</v>
      </c>
      <c r="K18" s="28">
        <f>IF(AND(COUNTIFS($M$6:$M$17,1,'Monthly input'!L6:L17,"&lt;&gt;")&gt;0,SUMIFS('Monthly input'!M6:M17,$M$6:$M$17,1)&gt;0),(SUMIFS('Monthly input'!L6:L17,$M$6:$M$17,1)/COUNTIFS($M$6:$M$17,1,'Monthly input'!L6:L17,"&lt;&gt;")*12)/(SUMIFS('Monthly input'!M6:M17,$M$6:$M$17,1)/COUNTIFS($M$6:$M$17,1,'Monthly input'!M6:M17,"&lt;&gt;")),"")</f>
        <v>0.0415040650406504</v>
      </c>
      <c r="L18">
        <f>MAX(L6:L17)</f>
        <v>17.0</v>
      </c>
    </row>
    <row r="19">
      <c r="A19" s="7" t="inlineStr">
        <is>
          <t>All months: MTBF, MTTR and the percentages divide the totals of every month entered. Backlog is the latest month's. Cost as % of RAV is the average month's cost times 12, divided by the average RAV.</t>
        </is>
      </c>
    </row>
    <row r="20">
      <c r="A20" s="7" t="inlineStr">
        <is>
          <t>A month the Check column flags stays blank here and on the charts, and is left out of All months, until its numbers are fixed. Formulas and sources: see the Definitions sheet.</t>
        </is>
      </c>
    </row>
  </sheetData>
  <hyperlinks>
    <hyperlink xmlns:r="http://schemas.openxmlformats.org/officeDocument/2006/relationships" ref="A2" r:id="rId1"/>
  </hyperlinks>
  <pageMargins left="0.4" right="0.4" top="0.5" bottom="0.5" header="0.5" footer="0.5"/>
  <pageSetup orientation="landscape" paperSize="1" fitToHeight="0" fitToWidth="1"/>
</worksheet>
</file>

<file path=xl/worksheets/sheet3.xml><?xml version="1.0" encoding="utf-8"?>
<worksheet xmlns="http://schemas.openxmlformats.org/spreadsheetml/2006/main">
  <sheetPr>
    <outlinePr summaryBelow="1" summaryRight="1"/>
    <pageSetUpPr fitToPage="1"/>
  </sheetPr>
  <dimension ref="A1:K65"/>
  <sheetViews>
    <sheetView showGridLines="0" workbookViewId="0">
      <selection activeCell="A1" sqref="A1"/>
    </sheetView>
  </sheetViews>
  <sheetFormatPr baseColWidth="8" defaultRowHeight="15"/>
  <cols>
    <col width="34" customWidth="1" min="1" max="1"/>
    <col width="13" customWidth="1" min="2" max="2"/>
    <col width="13" customWidth="1" min="3" max="3"/>
    <col width="12" customWidth="1" min="4" max="4"/>
    <col width="13" customWidth="1" min="5" max="5"/>
    <col width="13" customWidth="1" min="6" max="6"/>
    <col width="12" customWidth="1" min="7" max="7"/>
    <col width="4" customWidth="1" min="8" max="8"/>
    <col width="13" customWidth="1" min="9" max="9"/>
    <col width="13" customWidth="1" min="10" max="10"/>
    <col width="13" customWidth="1" min="11" max="11"/>
    <col width="13" customWidth="1" min="12" max="12"/>
    <col width="13" customWidth="1" min="13" max="13"/>
    <col width="13" customWidth="1" min="14" max="14"/>
  </cols>
  <sheetData>
    <row r="1" ht="24" customHeight="1">
      <c r="A1" s="1" t="inlineStr">
        <is>
          <t>Maintenance KPI dashboard</t>
        </is>
      </c>
    </row>
    <row r="2">
      <c r="A2" s="2" t="inlineStr">
        <is>
          <t>OEE Lab, free template: https://oeelab.com/maintenance-kpi-tracker-template</t>
        </is>
      </c>
    </row>
    <row r="3" ht="32" customHeight="1">
      <c r="A3" s="3" t="str">
        <f>IF(OR('Monthly input'!$B$4="Packaging line 2 (made-up example)",AND('Monthly input'!$B$6=352,'Monthly input'!$C$6=26.5,'Monthly input'!$D$6=8,'Monthly input'!$M$6=2400000)),"Showing the EXAMPLE NUMBERS until you type your own months on the Monthly input sheet. Every figure and chart here comes from the KPIs sheet.","Every figure and chart here comes from the KPIs sheet.")</f>
        <v>Showing the EXAMPLE NUMBERS until you type your own months on the Monthly input sheet. Every figure and chart here comes from the KPIs sheet.</v>
      </c>
    </row>
    <row r="5">
      <c r="A5" s="29" t="inlineStr">
        <is>
          <t>Scope</t>
        </is>
      </c>
      <c r="B5" s="30" t="str">
        <f>IF('Monthly input'!B4="","",'Monthly input'!B4)</f>
        <v>Packaging line 2 (made-up example)</v>
      </c>
    </row>
    <row r="6">
      <c r="A6" s="29" t="inlineStr">
        <is>
          <t>Latest month with planned hours</t>
        </is>
      </c>
      <c r="B6" s="31">
        <f>IF(KPIs!$L$18=0,"",INDEX(KPIs!$A$1:$A$17,KPIs!$L$18))</f>
        <v>46266.0</v>
      </c>
    </row>
    <row r="8" ht="34" customHeight="1">
      <c r="A8" s="8" t="inlineStr">
        <is>
          <t>KPI</t>
        </is>
      </c>
      <c r="B8" s="8" t="inlineStr">
        <is>
          <t>Latest month</t>
        </is>
      </c>
      <c r="C8" s="8" t="inlineStr">
        <is>
          <t>Month before</t>
        </is>
      </c>
      <c r="D8" s="8" t="inlineStr">
        <is>
          <t>Change</t>
        </is>
      </c>
      <c r="E8" s="8" t="inlineStr">
        <is>
          <t>Better or worse</t>
        </is>
      </c>
      <c r="F8" s="8" t="inlineStr">
        <is>
          <t>All months</t>
        </is>
      </c>
      <c r="G8" s="8" t="inlineStr">
        <is>
          <t>Better when</t>
        </is>
      </c>
    </row>
    <row r="9">
      <c r="A9" s="32" t="inlineStr">
        <is>
          <t>MTBF (h)</t>
        </is>
      </c>
      <c r="B9" s="33">
        <f>IF(KPIs!$L$18=0,"",INDEX(KPIs!C$1:C$17,KPIs!$L$18))</f>
        <v>113.833333333333</v>
      </c>
      <c r="C9" s="16">
        <f>IF(KPIs!$L$18&gt;6,INDEX(KPIs!C$1:C$17,KPIs!$L$18-1),"")</f>
        <v>79.25</v>
      </c>
      <c r="D9" s="34">
        <f>IF(AND(ISNUMBER(B9),ISNUMBER(C9)),(B9-C9)*1,"")</f>
        <v>34.5833333333333</v>
      </c>
      <c r="E9" s="35" t="str">
        <f>IF(D9="","",IF(ROUND(D9,6)=0,"Same",IF(G9="Steady",IF(D9&gt;0,"Up","Down"),IF((D9&gt;0)=(G9="Higher"),"Better","Worse"))))</f>
        <v>Better</v>
      </c>
      <c r="F9" s="16">
        <f>KPIs!C18</f>
        <v>58.8384615384615</v>
      </c>
      <c r="G9" s="35" t="inlineStr">
        <is>
          <t>Higher</t>
        </is>
      </c>
    </row>
    <row r="10">
      <c r="A10" s="32" t="inlineStr">
        <is>
          <t>MTTR, time to restore (h)</t>
        </is>
      </c>
      <c r="B10" s="33">
        <f>IF(KPIs!$L$18=0,"",INDEX(KPIs!D$1:D$17,KPIs!$L$18))</f>
        <v>3.5</v>
      </c>
      <c r="C10" s="16">
        <f>IF(KPIs!$L$18&gt;6,INDEX(KPIs!D$1:D$17,KPIs!$L$18-1),"")</f>
        <v>2.75</v>
      </c>
      <c r="D10" s="34">
        <f>IF(AND(ISNUMBER(B10),ISNUMBER(C10)),(B10-C10)*1,"")</f>
        <v>0.75</v>
      </c>
      <c r="E10" s="35" t="str">
        <f>IF(D10="","",IF(ROUND(D10,6)=0,"Same",IF(G10="Steady",IF(D10&gt;0,"Up","Down"),IF((D10&gt;0)=(G10="Higher"),"Better","Worse"))))</f>
        <v>Worse</v>
      </c>
      <c r="F10" s="16">
        <f>KPIs!D18</f>
        <v>3.19230769230769</v>
      </c>
      <c r="G10" s="35" t="inlineStr">
        <is>
          <t>Lower</t>
        </is>
      </c>
    </row>
    <row r="11">
      <c r="A11" s="32" t="inlineStr">
        <is>
          <t>Hands-on repair per failure (h)</t>
        </is>
      </c>
      <c r="B11" s="33">
        <f>IF(KPIs!$L$18=0,"",INDEX(KPIs!E$1:E$17,KPIs!$L$18))</f>
        <v>1.66666666666667</v>
      </c>
      <c r="C11" s="16">
        <f>IF(KPIs!$L$18&gt;6,INDEX(KPIs!E$1:E$17,KPIs!$L$18-1),"")</f>
        <v>1.375</v>
      </c>
      <c r="D11" s="34">
        <f>IF(AND(ISNUMBER(B11),ISNUMBER(C11)),(B11-C11)*1,"")</f>
        <v>0.291666666666667</v>
      </c>
      <c r="E11" s="35" t="str">
        <f>IF(D11="","",IF(ROUND(D11,6)=0,"Same",IF(G11="Steady",IF(D11&gt;0,"Up","Down"),IF((D11&gt;0)=(G11="Higher"),"Better","Worse"))))</f>
        <v>Worse</v>
      </c>
      <c r="F11" s="16">
        <f>KPIs!E18</f>
        <v>1.42307692307692</v>
      </c>
      <c r="G11" s="35" t="inlineStr">
        <is>
          <t>Lower</t>
        </is>
      </c>
    </row>
    <row r="12">
      <c r="A12" s="32" t="inlineStr">
        <is>
          <t>Waiting share of each stop</t>
        </is>
      </c>
      <c r="B12" s="36">
        <f>IF(KPIs!$L$18=0,"",INDEX(KPIs!F$1:F$17,KPIs!$L$18))</f>
        <v>0.523809523809524</v>
      </c>
      <c r="C12" s="17">
        <f>IF(KPIs!$L$18&gt;6,INDEX(KPIs!F$1:F$17,KPIs!$L$18-1),"")</f>
        <v>0.5</v>
      </c>
      <c r="D12" s="37">
        <f>IF(AND(ISNUMBER(B12),ISNUMBER(C12)),(B12-C12)*100,"")</f>
        <v>2.38095238095238</v>
      </c>
      <c r="E12" s="35" t="str">
        <f>IF(D12="","",IF(ROUND(D12,6)=0,"Same",IF(G12="Steady",IF(D12&gt;0,"Up","Down"),IF((D12&gt;0)=(G12="Higher"),"Better","Worse"))))</f>
        <v>Worse</v>
      </c>
      <c r="F12" s="17">
        <f>KPIs!F18</f>
        <v>0.55421686746988</v>
      </c>
      <c r="G12" s="35" t="inlineStr">
        <is>
          <t>Lower</t>
        </is>
      </c>
    </row>
    <row r="13">
      <c r="A13" s="32" t="inlineStr">
        <is>
          <t>Availability from failures</t>
        </is>
      </c>
      <c r="B13" s="38">
        <f>IF(KPIs!$L$18=0,"",INDEX(KPIs!G$1:G$17,KPIs!$L$18))</f>
        <v>0.970170454545455</v>
      </c>
      <c r="C13" s="18">
        <f>IF(KPIs!$L$18&gt;6,INDEX(KPIs!G$1:G$17,KPIs!$L$18-1),"")</f>
        <v>0.966463414634146</v>
      </c>
      <c r="D13" s="37">
        <f>IF(AND(ISNUMBER(B13),ISNUMBER(C13)),(B13-C13)*100,"")</f>
        <v>0.370703991130827</v>
      </c>
      <c r="E13" s="35" t="str">
        <f>IF(D13="","",IF(ROUND(D13,6)=0,"Same",IF(G13="Steady",IF(D13&gt;0,"Up","Down"),IF((D13&gt;0)=(G13="Higher"),"Better","Worse"))))</f>
        <v>Better</v>
      </c>
      <c r="F13" s="18">
        <f>KPIs!G18</f>
        <v>0.948536706349206</v>
      </c>
      <c r="G13" s="35" t="inlineStr">
        <is>
          <t>Higher</t>
        </is>
      </c>
    </row>
    <row r="14">
      <c r="A14" s="32" t="inlineStr">
        <is>
          <t>PM compliance</t>
        </is>
      </c>
      <c r="B14" s="38">
        <f>IF(KPIs!$L$18=0,"",INDEX(KPIs!H$1:H$17,KPIs!$L$18))</f>
        <v>0.956521739130435</v>
      </c>
      <c r="C14" s="18">
        <f>IF(KPIs!$L$18&gt;6,INDEX(KPIs!H$1:H$17,KPIs!$L$18-1),"")</f>
        <v>0.952380952380952</v>
      </c>
      <c r="D14" s="37">
        <f>IF(AND(ISNUMBER(B14),ISNUMBER(C14)),(B14-C14)*100,"")</f>
        <v>0.414078674948248</v>
      </c>
      <c r="E14" s="35" t="str">
        <f>IF(D14="","",IF(ROUND(D14,6)=0,"Same",IF(G14="Steady",IF(D14&gt;0,"Up","Down"),IF((D14&gt;0)=(G14="Higher"),"Better","Worse"))))</f>
        <v>Better</v>
      </c>
      <c r="F14" s="18">
        <f>KPIs!H18</f>
        <v>0.860557768924303</v>
      </c>
      <c r="G14" s="35" t="inlineStr">
        <is>
          <t>Higher</t>
        </is>
      </c>
    </row>
    <row r="15">
      <c r="A15" s="32" t="inlineStr">
        <is>
          <t>Planned maintenance</t>
        </is>
      </c>
      <c r="B15" s="38">
        <f>IF(KPIs!$L$18=0,"",INDEX(KPIs!I$1:I$17,KPIs!$L$18))</f>
        <v>0.815068493150685</v>
      </c>
      <c r="C15" s="18">
        <f>IF(KPIs!$L$18&gt;6,INDEX(KPIs!I$1:I$17,KPIs!$L$18-1),"")</f>
        <v>0.792857142857143</v>
      </c>
      <c r="D15" s="37">
        <f>IF(AND(ISNUMBER(B15),ISNUMBER(C15)),(B15-C15)*100,"")</f>
        <v>2.22113502935422</v>
      </c>
      <c r="E15" s="35" t="str">
        <f>IF(D15="","",IF(ROUND(D15,6)=0,"Same",IF(G15="Steady",IF(D15&gt;0,"Up","Down"),IF((D15&gt;0)=(G15="Higher"),"Better","Worse"))))</f>
        <v>Better</v>
      </c>
      <c r="F15" s="18">
        <f>KPIs!I18</f>
        <v>0.695410698626133</v>
      </c>
      <c r="G15" s="35" t="inlineStr">
        <is>
          <t>Higher</t>
        </is>
      </c>
    </row>
    <row r="16">
      <c r="A16" s="32" t="inlineStr">
        <is>
          <t>Backlog (crew weeks)</t>
        </is>
      </c>
      <c r="B16" s="33">
        <f>IF(KPIs!$L$18=0,"",INDEX(KPIs!J$1:J$17,KPIs!$L$18))</f>
        <v>2.4</v>
      </c>
      <c r="C16" s="16">
        <f>IF(KPIs!$L$18&gt;6,INDEX(KPIs!J$1:J$17,KPIs!$L$18-1),"")</f>
        <v>2.51428571428571</v>
      </c>
      <c r="D16" s="39">
        <f>IF(AND(ISNUMBER(B16),ISNUMBER(C16)),(B16-C16)*1,"")</f>
        <v>-0.114285714285714</v>
      </c>
      <c r="E16" s="35" t="str">
        <f>IF(D16="","",IF(ROUND(D16,6)=0,"Same",IF(G16="Steady",IF(D16&gt;0,"Up","Down"),IF((D16&gt;0)=(G16="Higher"),"Better","Worse"))))</f>
        <v>Down</v>
      </c>
      <c r="F16" s="16">
        <f>KPIs!J18</f>
        <v>2.4</v>
      </c>
      <c r="G16" s="35" t="inlineStr">
        <is>
          <t>Steady</t>
        </is>
      </c>
    </row>
    <row r="17">
      <c r="A17" s="32" t="inlineStr">
        <is>
          <t>Maintenance cost as % of RAV, a year</t>
        </is>
      </c>
      <c r="B17" s="40">
        <f>IF(KPIs!$L$18=0,"",INDEX(KPIs!K$1:K$17,KPIs!$L$18))</f>
        <v>0.0328571428571429</v>
      </c>
      <c r="C17" s="19">
        <f>IF(KPIs!$L$18&gt;6,INDEX(KPIs!K$1:K$17,KPIs!$L$18-1),"")</f>
        <v>0.0338095238095238</v>
      </c>
      <c r="D17" s="41">
        <f>IF(AND(ISNUMBER(B17),ISNUMBER(C17)),(B17-C17)*100,"")</f>
        <v>-0.0952380952380955</v>
      </c>
      <c r="E17" s="35" t="str">
        <f>IF(D17="","",IF(ROUND(D17,6)=0,"Same",IF(G17="Steady",IF(D17&gt;0,"Up","Down"),IF((D17&gt;0)=(G17="Higher"),"Better","Worse"))))</f>
        <v>Better</v>
      </c>
      <c r="F17" s="19">
        <f>KPIs!K18</f>
        <v>0.0415040650406504</v>
      </c>
      <c r="G17" s="35" t="inlineStr">
        <is>
          <t>Lower</t>
        </is>
      </c>
    </row>
    <row r="18" ht="44" customHeight="1">
      <c r="A18" s="42" t="inlineStr">
        <is>
          <t>Change = latest month minus the month before; percentages change in points. Backlog has no better direction: read its trend (see Definitions). SMRP puts top performers under 3% of RAV; there is no sourced target for the other KPIs, so compare with your own trend. A month the Check column flags stays blank until its numbers are fixed.</t>
        </is>
      </c>
    </row>
    <row r="65" ht="28" customHeight="1">
      <c r="A65" s="42" t="inlineStr">
        <is>
          <t>Sources: MTBF and MTTR as defined in IEC 60050-192 (IEV 192-05-13 and 192-07-23). The red dashed line is SMRP's figure for top performers, under 3% of RAV (SMRP Best Practices Metrics Workshop, 2018). Links on the Definitions sheet.</t>
        </is>
      </c>
    </row>
  </sheetData>
  <mergeCells count="3">
    <mergeCell ref="A3:G3"/>
    <mergeCell ref="A65:K65"/>
    <mergeCell ref="A18:G18"/>
  </mergeCells>
  <conditionalFormatting sqref="A3:G3">
    <cfRule type="expression" priority="1" dxfId="0">
      <formula>LEFT($A$3,7)&lt;&gt;"Showing"</formula>
    </cfRule>
  </conditionalFormatting>
  <conditionalFormatting sqref="E9:E17">
    <cfRule type="expression" priority="2" dxfId="3">
      <formula>E9="Better"</formula>
    </cfRule>
    <cfRule type="expression" priority="3" dxfId="2">
      <formula>E9="Worse"</formula>
    </cfRule>
  </conditionalFormatting>
  <hyperlinks>
    <hyperlink xmlns:r="http://schemas.openxmlformats.org/officeDocument/2006/relationships" ref="A2" r:id="rId1"/>
  </hyperlinks>
  <pageMargins left="0.4" right="0.4" top="0.5" bottom="0.5" header="0.5" footer="0.5"/>
  <pageSetup orientation="landscape" paperSize="1" fitToHeight="1" fitToWidth="1"/>
  <drawing xmlns:r="http://schemas.openxmlformats.org/officeDocument/2006/relationships" r:id="rId2"/>
</worksheet>
</file>

<file path=xl/worksheets/sheet4.xml><?xml version="1.0" encoding="utf-8"?>
<worksheet xmlns="http://schemas.openxmlformats.org/spreadsheetml/2006/main">
  <sheetPr>
    <outlinePr summaryBelow="1" summaryRight="1"/>
    <pageSetUpPr fitToPage="1"/>
  </sheetPr>
  <dimension ref="A1:D31"/>
  <sheetViews>
    <sheetView showGridLines="0" workbookViewId="0">
      <selection activeCell="A1" sqref="A1"/>
    </sheetView>
  </sheetViews>
  <sheetFormatPr baseColWidth="8" defaultRowHeight="15"/>
  <cols>
    <col width="24" customWidth="1" min="1" max="1"/>
    <col width="32" customWidth="1" min="2" max="2"/>
    <col width="46" customWidth="1" min="3" max="3"/>
    <col width="66" customWidth="1" min="4" max="4"/>
  </cols>
  <sheetData>
    <row r="1" ht="24" customHeight="1">
      <c r="A1" s="1" t="inlineStr">
        <is>
          <t>KPI definitions, formulas and sources</t>
        </is>
      </c>
    </row>
    <row r="2">
      <c r="A2" s="2" t="inlineStr">
        <is>
          <t>OEE Lab, free template: https://oeelab.com/maintenance-kpi-tracker-template</t>
        </is>
      </c>
    </row>
    <row r="3">
      <c r="A3" s="7" t="inlineStr">
        <is>
          <t>No target is printed unless a published source gives one. Where none does, compare each KPI with its own trend, measured the same way every month.</t>
        </is>
      </c>
    </row>
    <row r="5" ht="24" customHeight="1">
      <c r="A5" s="8" t="inlineStr">
        <is>
          <t>KPI</t>
        </is>
      </c>
      <c r="B5" s="8" t="inlineStr">
        <is>
          <t>Formula in this workbook</t>
        </is>
      </c>
      <c r="C5" s="8" t="inlineStr">
        <is>
          <t>What it tells you</t>
        </is>
      </c>
      <c r="D5" s="8" t="inlineStr">
        <is>
          <t>Source and target</t>
        </is>
      </c>
    </row>
    <row r="6" ht="79" customHeight="1">
      <c r="A6" s="43" t="inlineStr">
        <is>
          <t>MTBF (h)</t>
        </is>
      </c>
      <c r="B6" s="44" t="inlineStr">
        <is>
          <t>Operating hours / number of failures.
Operating hours = planned production hours - downtime from failures.</t>
        </is>
      </c>
      <c r="C6" s="44" t="inlineStr">
        <is>
          <t>How long the line runs between failures, counting operating time only, not calendar time. Higher is better. In a quiet month one failure more or less moves it a lot, so read it with the failure count.</t>
        </is>
      </c>
      <c r="D6" s="44" t="inlineStr">
        <is>
          <t>IEC 60050-192, IEV 192-05-13: mean operating time between failures, the expected operating time between failures, for repairable items. No target given.
https://www.electropedia.org/iev/iev.nsf/display?openform&amp;ievref=192-05-13</t>
        </is>
      </c>
    </row>
    <row r="7" ht="79" customHeight="1">
      <c r="A7" s="43" t="inlineStr">
        <is>
          <t>MTTR, time to restore (h)</t>
        </is>
      </c>
      <c r="B7" s="44" t="inlineStr">
        <is>
          <t>Downtime from failures / number of failures.</t>
        </is>
      </c>
      <c r="C7" s="44" t="inlineStr">
        <is>
          <t>How long a failure keeps the line down, from the stop until it runs again: waiting for a technician, parts or a release included. Lower is better.</t>
        </is>
      </c>
      <c r="D7" s="44" t="inlineStr">
        <is>
          <t>IEC 60050-192, IEV 192-07-23: mean time to restoration. IEC marks "mean time to repair" and "mean time to recovery" as deprecated. No target given.
https://www.electropedia.org/iev/iev.nsf/display?openform&amp;ievref=192-07-23</t>
        </is>
      </c>
    </row>
    <row r="8" ht="49" customHeight="1">
      <c r="A8" s="43" t="inlineStr">
        <is>
          <t>Hands-on repair per failure (h)</t>
        </is>
      </c>
      <c r="B8" s="44" t="inlineStr">
        <is>
          <t>Hands-on repair hours / number of failures.</t>
        </is>
      </c>
      <c r="C8" s="44" t="inlineStr">
        <is>
          <t>The part of each stop when someone was working on the machine. Kept apart from time to restore, so the two meanings of MTTR are never mixed.</t>
        </is>
      </c>
      <c r="D8" s="44" t="inlineStr">
        <is>
          <t>SMRP lists metric 3.5.2 as Mean Time to Repair or Replace (SMRP Best Practices Metrics Workshop, 2018). No target given.
https://pemac.org/sites/default/files/2018_SMRP_BPMW_Full_Day.pdf</t>
        </is>
      </c>
    </row>
    <row r="9" ht="64" customHeight="1">
      <c r="A9" s="43" t="inlineStr">
        <is>
          <t>Waiting share of each stop</t>
        </is>
      </c>
      <c r="B9" s="44" t="inlineStr">
        <is>
          <t>1 - hands-on repair hours / downtime from failures.</t>
        </is>
      </c>
      <c r="C9" s="44" t="inlineStr">
        <is>
          <t>How much of each stop went to waiting rather than repair. Above 50%, most of the stop is waiting: look at call-out, spare parts and permits before repair skills.</t>
        </is>
      </c>
      <c r="D9" s="44" t="inlineStr">
        <is>
          <t>Arithmetic on the two rows above. No standard or target.</t>
        </is>
      </c>
    </row>
    <row r="10" ht="64" customHeight="1">
      <c r="A10" s="43" t="inlineStr">
        <is>
          <t>Availability from failures</t>
        </is>
      </c>
      <c r="B10" s="44" t="inlineStr">
        <is>
          <t>Operating hours / planned production hours.
The same as MTBF / (MTBF + MTTR).</t>
        </is>
      </c>
      <c r="C10" s="44" t="inlineStr">
        <is>
          <t>The share of planned hours the line was not down for a failure. Changeovers and other stops are left out, so it reads higher than the availability factor of OEE.</t>
        </is>
      </c>
      <c r="D10" s="44" t="inlineStr">
        <is>
          <t>Arithmetic on the IEC terms above. No target given.</t>
        </is>
      </c>
    </row>
    <row r="11" ht="49" customHeight="1">
      <c r="A11" s="43" t="inlineStr">
        <is>
          <t>PM compliance</t>
        </is>
      </c>
      <c r="B11" s="44" t="inlineStr">
        <is>
          <t>PM tasks done on time / PM tasks due.</t>
        </is>
      </c>
      <c r="C11" s="44" t="inlineStr">
        <is>
          <t>Whether the preventive plan is done when it is due. Write down what counts as on time (the due date, or a window) and keep it every month.</t>
        </is>
      </c>
      <c r="D11" s="44" t="inlineStr">
        <is>
          <t>Common working definition; no standard is used here. No target given.</t>
        </is>
      </c>
    </row>
    <row r="12" ht="79" customHeight="1">
      <c r="A12" s="43" t="inlineStr">
        <is>
          <t>Planned maintenance</t>
        </is>
      </c>
      <c r="B12" s="44" t="inlineStr">
        <is>
          <t>Planned maintenance hours / total maintenance hours.</t>
        </is>
      </c>
      <c r="C12" s="44" t="inlineStr">
        <is>
          <t>The share of maintenance hours that were planned before the work started (PM and planned repairs), against breakdown and rush work.</t>
        </is>
      </c>
      <c r="D12" s="44" t="inlineStr">
        <is>
          <t>Common working definition. For context only, a different measure: in a NIST survey of US discrete manufacturers (2016 data), 45.7% of machinery maintenance was reactive (Thomas and Weiss, NIST AMS 100-34, 2020).
https://doi.org/10.6028/NIST.AMS.100-34</t>
        </is>
      </c>
    </row>
    <row r="13" ht="64" customHeight="1">
      <c r="A13" s="43" t="inlineStr">
        <is>
          <t>Backlog (crew weeks)</t>
        </is>
      </c>
      <c r="B13" s="44" t="inlineStr">
        <is>
          <t>Backlog of ready work (h) / crew hours per week.</t>
        </is>
      </c>
      <c r="C13" s="44" t="inlineStr">
        <is>
          <t>How many weeks the crew would need to clear the ready work if nothing new came in. Watch the trend: a line that keeps rising means work arrives faster than the crew clears it.</t>
        </is>
      </c>
      <c r="D13" s="44" t="inlineStr">
        <is>
          <t>Common working definition. No published healthy band was found in a neutral source, so none is printed.</t>
        </is>
      </c>
    </row>
    <row r="14" ht="94" customHeight="1">
      <c r="A14" s="43" t="inlineStr">
        <is>
          <t>Maintenance cost as % of RAV, a year</t>
        </is>
      </c>
      <c r="B14" s="44" t="inlineStr">
        <is>
          <t>Maintenance cost of the month x 12 / replacement asset value.</t>
        </is>
      </c>
      <c r="C14" s="44" t="inlineStr">
        <is>
          <t>Maintenance spend against what it would cost to replace the assets new, on a yearly scale so a month reads like the yearly ratio.</t>
        </is>
      </c>
      <c r="D14" s="44" t="inlineStr">
        <is>
          <t>SMRP: top performers in all industries keep reliable plants under 3% of RAV (SMRP Best Practices Metrics Workshop, 2018). Ron Moore (Reliabilityweb) warns the ratio is not useful on its own: about 2.5% is a benchmark for a chemical company, while 4% can be excellent for corrosive processes.
https://pemac.org/sites/default/files/2018_SMRP_BPMW_Full_Day.pdf</t>
        </is>
      </c>
    </row>
    <row r="15">
      <c r="C15" s="45" t="inlineStr">
        <is>
          <t>Ron Moore's article (Reliabilityweb):</t>
        </is>
      </c>
      <c r="D15" s="2" t="inlineStr">
        <is>
          <t>https://reliabilityweb.com/en/articles/maintenance-cost</t>
        </is>
      </c>
    </row>
    <row r="17" ht="22" customHeight="1">
      <c r="A17" s="46" t="inlineStr">
        <is>
          <t>What to type in each column of Monthly input</t>
        </is>
      </c>
    </row>
    <row r="18" ht="22" customHeight="1">
      <c r="A18" s="8" t="inlineStr">
        <is>
          <t>Column</t>
        </is>
      </c>
      <c r="B18" s="8" t="inlineStr">
        <is>
          <t>What to count</t>
        </is>
      </c>
      <c r="C18" s="47" t="n"/>
      <c r="D18" s="48" t="n"/>
    </row>
    <row r="19" ht="19" customHeight="1">
      <c r="A19" s="43" t="inlineStr">
        <is>
          <t>Month</t>
        </is>
      </c>
      <c r="B19" s="44" t="inlineStr">
        <is>
          <t>The first day of the month. Type the first month in A6; the other 11 follow.</t>
        </is>
      </c>
      <c r="C19" s="49" t="n"/>
      <c r="D19" s="49" t="n"/>
    </row>
    <row r="20" ht="19" customHeight="1">
      <c r="A20" s="43" t="inlineStr">
        <is>
          <t>Planned production hours</t>
        </is>
      </c>
      <c r="B20" s="44" t="inlineStr">
        <is>
          <t>Hours the machine, line or area was scheduled to run in the month. Leave out time with no orders and planned shutdowns.</t>
        </is>
      </c>
      <c r="C20" s="49" t="n"/>
      <c r="D20" s="49" t="n"/>
    </row>
    <row r="21" ht="34" customHeight="1">
      <c r="A21" s="43" t="inlineStr">
        <is>
          <t>Downtime from failures (h)</t>
        </is>
      </c>
      <c r="B21" s="44" t="inlineStr">
        <is>
          <t>Clock hours from each failure stop until the machine ran again, added up. Not changeovers, not waiting for material.</t>
        </is>
      </c>
      <c r="C21" s="49" t="n"/>
      <c r="D21" s="49" t="n"/>
    </row>
    <row r="22" ht="19" customHeight="1">
      <c r="A22" s="43" t="inlineStr">
        <is>
          <t>Number of failures</t>
        </is>
      </c>
      <c r="B22" s="44" t="inlineStr">
        <is>
          <t>Stops caused by a failure that needed a repair.</t>
        </is>
      </c>
      <c r="C22" s="49" t="n"/>
      <c r="D22" s="49" t="n"/>
    </row>
    <row r="23" ht="19" customHeight="1">
      <c r="A23" s="43" t="inlineStr">
        <is>
          <t>Hands-on repair hours</t>
        </is>
      </c>
      <c r="B23" s="44" t="inlineStr">
        <is>
          <t>Clock hours someone was working on the stopped machine for those failures. Count the clock once, even when two people worked together.</t>
        </is>
      </c>
      <c r="C23" s="49" t="n"/>
      <c r="D23" s="49" t="n"/>
    </row>
    <row r="24" ht="19" customHeight="1">
      <c r="A24" s="43" t="inlineStr">
        <is>
          <t>PM tasks due</t>
        </is>
      </c>
      <c r="B24" s="44" t="inlineStr">
        <is>
          <t>Preventive tasks whose due date fell in the month.</t>
        </is>
      </c>
      <c r="C24" s="49" t="n"/>
      <c r="D24" s="49" t="n"/>
    </row>
    <row r="25" ht="19" customHeight="1">
      <c r="A25" s="43" t="inlineStr">
        <is>
          <t>PM tasks done on time</t>
        </is>
      </c>
      <c r="B25" s="44" t="inlineStr">
        <is>
          <t>Of those, the tasks done by their due date (or inside the window you wrote down).</t>
        </is>
      </c>
      <c r="C25" s="49" t="n"/>
      <c r="D25" s="49" t="n"/>
    </row>
    <row r="26" ht="19" customHeight="1">
      <c r="A26" s="43" t="inlineStr">
        <is>
          <t>Planned maintenance hours</t>
        </is>
      </c>
      <c r="B26" s="44" t="inlineStr">
        <is>
          <t>Labor hours on work that was planned before it started: PM and scheduled repairs.</t>
        </is>
      </c>
      <c r="C26" s="49" t="n"/>
      <c r="D26" s="49" t="n"/>
    </row>
    <row r="27" ht="19" customHeight="1">
      <c r="A27" s="43" t="inlineStr">
        <is>
          <t>Total maintenance hours</t>
        </is>
      </c>
      <c r="B27" s="44" t="inlineStr">
        <is>
          <t>All maintenance labor hours on this scope in the month.</t>
        </is>
      </c>
      <c r="C27" s="49" t="n"/>
      <c r="D27" s="49" t="n"/>
    </row>
    <row r="28" ht="19" customHeight="1">
      <c r="A28" s="43" t="inlineStr">
        <is>
          <t>Backlog of ready work (h)</t>
        </is>
      </c>
      <c r="B28" s="44" t="inlineStr">
        <is>
          <t>Estimated labor hours of open work that is ready to do, parts and permits in place, at the end of the month.</t>
        </is>
      </c>
      <c r="C28" s="49" t="n"/>
      <c r="D28" s="49" t="n"/>
    </row>
    <row r="29" ht="19" customHeight="1">
      <c r="A29" s="43" t="inlineStr">
        <is>
          <t>Crew hours per week</t>
        </is>
      </c>
      <c r="B29" s="44" t="inlineStr">
        <is>
          <t>Hours the crew can spend on that work in a normal week, after meetings, travel and breakdowns.</t>
        </is>
      </c>
      <c r="C29" s="49" t="n"/>
      <c r="D29" s="49" t="n"/>
    </row>
    <row r="30" ht="19" customHeight="1">
      <c r="A30" s="43" t="inlineStr">
        <is>
          <t>Maintenance cost</t>
        </is>
      </c>
      <c r="B30" s="44" t="inlineStr">
        <is>
          <t>Labor, parts, contractors and materials for the month, in one currency.</t>
        </is>
      </c>
      <c r="C30" s="49" t="n"/>
      <c r="D30" s="49" t="n"/>
    </row>
    <row r="31" ht="34" customHeight="1">
      <c r="A31" s="43" t="inlineStr">
        <is>
          <t>Replacement asset value (RAV)</t>
        </is>
      </c>
      <c r="B31" s="44" t="inlineStr">
        <is>
          <t>What it would cost to replace the assets in this scope new today, in the same currency.</t>
        </is>
      </c>
      <c r="C31" s="49" t="n"/>
      <c r="D31" s="49" t="n"/>
    </row>
  </sheetData>
  <mergeCells count="14">
    <mergeCell ref="B28:D28"/>
    <mergeCell ref="B19:D19"/>
    <mergeCell ref="B31:D31"/>
    <mergeCell ref="B23:D23"/>
    <mergeCell ref="B22:D22"/>
    <mergeCell ref="B26:D26"/>
    <mergeCell ref="B18:D18"/>
    <mergeCell ref="B27:D27"/>
    <mergeCell ref="B21:D21"/>
    <mergeCell ref="B30:D30"/>
    <mergeCell ref="B29:D29"/>
    <mergeCell ref="B25:D25"/>
    <mergeCell ref="B24:D24"/>
    <mergeCell ref="B20:D20"/>
  </mergeCells>
  <hyperlinks>
    <hyperlink xmlns:r="http://schemas.openxmlformats.org/officeDocument/2006/relationships" ref="A2"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12" r:id="rId5"/>
    <hyperlink xmlns:r="http://schemas.openxmlformats.org/officeDocument/2006/relationships" ref="D14" r:id="rId6"/>
    <hyperlink xmlns:r="http://schemas.openxmlformats.org/officeDocument/2006/relationships" ref="D15" r:id="rId7"/>
  </hyperlinks>
  <pageMargins left="0.4" right="0.4" top="0.5" bottom="0.5" header="0.5" footer="0.5"/>
  <pageSetup orientation="landscape" paperSize="1" fitToHeight="0" fitToWidth="1"/>
</worksheet>
</file>

<file path=xl/worksheets/sheet5.xml><?xml version="1.0" encoding="utf-8"?>
<worksheet xmlns="http://schemas.openxmlformats.org/spreadsheetml/2006/main">
  <sheetPr>
    <outlinePr summaryBelow="1" summaryRight="1"/>
    <pageSetUpPr fitToPage="1"/>
  </sheetPr>
  <dimension ref="A1:A18"/>
  <sheetViews>
    <sheetView showGridLines="0" workbookViewId="0">
      <selection activeCell="A1" sqref="A1"/>
    </sheetView>
  </sheetViews>
  <sheetFormatPr baseColWidth="8" defaultRowHeight="15"/>
  <cols>
    <col width="120" customWidth="1" min="1" max="1"/>
  </cols>
  <sheetData>
    <row r="1" ht="24" customHeight="1">
      <c r="A1" s="1" t="inlineStr">
        <is>
          <t>How to use the maintenance KPI tracker</t>
        </is>
      </c>
    </row>
    <row r="2">
      <c r="A2" s="2" t="inlineStr">
        <is>
          <t>OEE Lab, free template: https://oeelab.com/maintenance-kpi-tracker-template</t>
        </is>
      </c>
    </row>
    <row r="4" ht="22" customHeight="1">
      <c r="A4" s="50" t="inlineStr">
        <is>
          <t>Set it up once</t>
        </is>
      </c>
    </row>
    <row r="5" ht="33" customHeight="1">
      <c r="A5" s="51" t="inlineStr">
        <is>
          <t>1. On Monthly input, type what the numbers cover in B4: one machine, one line or one area. Keep that scope every month, or the trend means nothing.</t>
        </is>
      </c>
    </row>
    <row r="6" ht="33" customHeight="1">
      <c r="A6" s="51" t="inlineStr">
        <is>
          <t>2. Rows 6 to 17 hold 12 made-up example months. Select B6:M17 and press Delete to start empty, then type your first month in A6. The other 11 months follow.</t>
        </is>
      </c>
    </row>
    <row r="7" ht="22" customHeight="1">
      <c r="A7" s="50" t="inlineStr">
        <is>
          <t>Every month</t>
        </is>
      </c>
    </row>
    <row r="8" ht="48" customHeight="1">
      <c r="A8" s="51" t="inlineStr">
        <is>
          <t>3. Fill one row in the yellow cells: planned hours, failures and their downtime, hands-on repair hours, PM tasks due and done on time, planned and total maintenance hours, backlog and crew hours, cost and RAV. The Definitions sheet says what to count in each column.</t>
        </is>
      </c>
    </row>
    <row r="9" ht="33" customHeight="1">
      <c r="A9" s="51" t="inlineStr">
        <is>
          <t>4. Read the Check column. It flags numbers that cannot be right, such as more hands-on repair than downtime. A flagged month stays blank on the KPIs sheet and the charts, and is left out of All months, until you fix it.</t>
        </is>
      </c>
    </row>
    <row r="10" ht="33" customHeight="1">
      <c r="A10" s="51" t="inlineStr">
        <is>
          <t>5. Open the Dashboard: the latest month against the month before, the All months figures, and six charts. Talk about the trend, not one month.</t>
        </is>
      </c>
    </row>
    <row r="11" ht="18" customHeight="1">
      <c r="A11" s="51" t="inlineStr">
        <is>
          <t>6. Print the Dashboard for the monthly review: it fits one landscape page. No macros, nothing to enable.</t>
        </is>
      </c>
    </row>
    <row r="12" ht="22" customHeight="1">
      <c r="A12" s="50" t="inlineStr">
        <is>
          <t>Good to know</t>
        </is>
      </c>
    </row>
    <row r="13" ht="33" customHeight="1">
      <c r="A13" s="51" t="inlineStr">
        <is>
          <t>The All months row on the KPIs sheet divides the totals once. It never averages the monthly percentages, because a short month would then count as much as a long one.</t>
        </is>
      </c>
    </row>
    <row r="14" ht="33" customHeight="1">
      <c r="A14" s="51" t="inlineStr">
        <is>
          <t>MTTR here is time to restore, as IEC 60050-192 defines it. Hands-on repair time is a separate column, so you can see how much of each stop is waiting.</t>
        </is>
      </c>
    </row>
    <row r="15" ht="33" customHeight="1">
      <c r="A15" s="51" t="inlineStr">
        <is>
          <t>Want PM compliance, MTTR and MTBF counted from the jobs you log instead of typed in? The free CMMS app counts them from your tasks, in your browser (its MTTR is start to finish of urgent tasks, its MTBF is calendar days per urgent task, per machine):</t>
        </is>
      </c>
    </row>
    <row r="16" ht="18" customHeight="1">
      <c r="A16" s="52" t="inlineStr">
        <is>
          <t>https://oeelab.com/app/reports</t>
        </is>
      </c>
    </row>
    <row r="17" ht="33" customHeight="1">
      <c r="A17" s="42" t="inlineStr">
        <is>
          <t>Fabrico tracks OEE and downtime live from PLCs, IoT sensors or AI cameras, and a technician opens the work order from the stop. Book a demo:</t>
        </is>
      </c>
    </row>
    <row r="18" ht="33" customHeight="1">
      <c r="A18" s="52" t="inlineStr">
        <is>
          <t>https://www.fabrico.io/demo/?utm_source=oeelab&amp;utm_medium=template&amp;utm_campaign=maintenance-kpi-tracker-template&amp;utm_content=xlsx</t>
        </is>
      </c>
    </row>
  </sheetData>
  <hyperlinks>
    <hyperlink xmlns:r="http://schemas.openxmlformats.org/officeDocument/2006/relationships" ref="A2" r:id="rId1"/>
    <hyperlink xmlns:r="http://schemas.openxmlformats.org/officeDocument/2006/relationships" ref="A16" r:id="rId2"/>
    <hyperlink xmlns:r="http://schemas.openxmlformats.org/officeDocument/2006/relationships" ref="A18" r:id="rId3"/>
  </hyperlinks>
  <pageMargins left="0.4" right="0.4" top="0.5" bottom="0.5" header="0.5" footer="0.5"/>
  <pageSetup orientation="landscape" paperSize="1"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2026-10-14T09:49:12Z</dcterms:created>
  <dcterms:modified xsi:type="dcterms:W3CDTF">2026-10-14T09:49:12Z</dcterms:modified>
</cp:coreProperties>
</file>